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13_ncr:1_{40863FDB-40A9-4301-9A26-E4A8CFB7DCDA}" xr6:coauthVersionLast="46" xr6:coauthVersionMax="46" xr10:uidLastSave="{00000000-0000-0000-0000-000000000000}"/>
  <bookViews>
    <workbookView xWindow="-120" yWindow="-120" windowWidth="29040" windowHeight="15840" tabRatio="731" firstSheet="7" activeTab="17" xr2:uid="{D6A1129A-F763-46BC-BEB6-6D5B3EFDBADB}"/>
  </bookViews>
  <sheets>
    <sheet name="Producto A" sheetId="1" state="hidden" r:id="rId1"/>
    <sheet name="Producto B" sheetId="25" state="hidden" r:id="rId2"/>
    <sheet name="Productos A + B" sheetId="31" state="hidden" r:id="rId3"/>
    <sheet name="0-Inicio" sheetId="32" r:id="rId4"/>
    <sheet name="1-Precio" sheetId="27" r:id="rId5"/>
    <sheet name="2-Altern. Product." sheetId="28" r:id="rId6"/>
    <sheet name="3- Aspectos Productivos" sheetId="2" r:id="rId7"/>
    <sheet name="4- C. Unitario" sheetId="10" r:id="rId8"/>
    <sheet name="4- C. Unitario (2)" sheetId="33" r:id="rId9"/>
    <sheet name="5- Anexar insumos" sheetId="24" r:id="rId10"/>
    <sheet name="6- C. Fijos" sheetId="3" r:id="rId11"/>
    <sheet name="Consulta " sheetId="34" r:id="rId12"/>
    <sheet name="7- Cu Final" sheetId="5" r:id="rId13"/>
    <sheet name="8- C. final" sheetId="29" r:id="rId14"/>
    <sheet name="Flete 2" sheetId="22" state="hidden" r:id="rId15"/>
    <sheet name="9- Presupuesto" sheetId="12" r:id="rId16"/>
    <sheet name="Consulta  2" sheetId="35" r:id="rId17"/>
    <sheet name="10- Ventas por objetivos" sheetId="30" r:id="rId18"/>
    <sheet name="Crédito" sheetId="17" state="hidden" r:id="rId19"/>
    <sheet name="Peq" sheetId="18" state="hidden" r:id="rId20"/>
    <sheet name="Peq c grafico" sheetId="19" state="hidden" r:id="rId21"/>
    <sheet name="Pto eq gráfica" sheetId="20" state="hidden" r:id="rId2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35" l="1"/>
  <c r="C20" i="35"/>
  <c r="C11" i="35"/>
  <c r="C17" i="35" s="1"/>
  <c r="D5" i="35"/>
  <c r="E12" i="34"/>
  <c r="E15" i="34" s="1"/>
  <c r="C8" i="34"/>
  <c r="E8" i="34" s="1"/>
  <c r="E9" i="34" s="1"/>
  <c r="C10" i="3"/>
  <c r="H13" i="29"/>
  <c r="H14" i="29"/>
  <c r="G31" i="33"/>
  <c r="H31" i="33" s="1"/>
  <c r="H30" i="33"/>
  <c r="G28" i="33"/>
  <c r="H28" i="33" s="1"/>
  <c r="G27" i="33"/>
  <c r="E27" i="33"/>
  <c r="H27" i="33" s="1"/>
  <c r="G25" i="33"/>
  <c r="H25" i="33" s="1"/>
  <c r="G24" i="33"/>
  <c r="E24" i="33"/>
  <c r="H24" i="33" s="1"/>
  <c r="G23" i="33"/>
  <c r="E23" i="33"/>
  <c r="H23" i="33" s="1"/>
  <c r="E22" i="33"/>
  <c r="H22" i="33" s="1"/>
  <c r="J18" i="33"/>
  <c r="J15" i="33"/>
  <c r="G15" i="33"/>
  <c r="H15" i="33" s="1"/>
  <c r="H14" i="33"/>
  <c r="G14" i="33"/>
  <c r="G13" i="33"/>
  <c r="E13" i="33"/>
  <c r="H13" i="33" s="1"/>
  <c r="J12" i="33"/>
  <c r="G12" i="33"/>
  <c r="E12" i="33"/>
  <c r="H12" i="33" s="1"/>
  <c r="G10" i="33"/>
  <c r="H10" i="33" s="1"/>
  <c r="J9" i="33"/>
  <c r="G9" i="33"/>
  <c r="E9" i="33"/>
  <c r="H9" i="33" s="1"/>
  <c r="G8" i="33"/>
  <c r="E8" i="33"/>
  <c r="E7" i="33"/>
  <c r="H7" i="33" s="1"/>
  <c r="J6" i="33"/>
  <c r="E13" i="10"/>
  <c r="E12" i="10"/>
  <c r="E9" i="10"/>
  <c r="E8" i="10"/>
  <c r="E7" i="10"/>
  <c r="H8" i="33" l="1"/>
  <c r="H17" i="33" s="1"/>
  <c r="H33" i="33"/>
  <c r="G29" i="31"/>
  <c r="H29" i="31" s="1"/>
  <c r="G28" i="31"/>
  <c r="E28" i="31"/>
  <c r="H28" i="31" s="1"/>
  <c r="G26" i="31"/>
  <c r="H26" i="31" s="1"/>
  <c r="G25" i="31"/>
  <c r="E25" i="31"/>
  <c r="G24" i="31"/>
  <c r="E24" i="31"/>
  <c r="H24" i="31" s="1"/>
  <c r="E23" i="31"/>
  <c r="H23" i="31" s="1"/>
  <c r="E14" i="31"/>
  <c r="E13" i="31"/>
  <c r="E10" i="31"/>
  <c r="E9" i="31"/>
  <c r="E8" i="31"/>
  <c r="H8" i="31" s="1"/>
  <c r="G16" i="31"/>
  <c r="H16" i="31" s="1"/>
  <c r="G15" i="31"/>
  <c r="G14" i="31"/>
  <c r="G13" i="31"/>
  <c r="G11" i="31"/>
  <c r="G10" i="31"/>
  <c r="G9" i="31"/>
  <c r="K31" i="30"/>
  <c r="K33" i="30" s="1"/>
  <c r="L6" i="12"/>
  <c r="M6" i="12" s="1"/>
  <c r="O6" i="12" s="1"/>
  <c r="P6" i="12" s="1"/>
  <c r="J18" i="29"/>
  <c r="J15" i="29"/>
  <c r="H15" i="29"/>
  <c r="G15" i="29"/>
  <c r="G14" i="29"/>
  <c r="G13" i="29"/>
  <c r="J12" i="29"/>
  <c r="H12" i="29"/>
  <c r="G12" i="29"/>
  <c r="G10" i="29"/>
  <c r="H10" i="29" s="1"/>
  <c r="J9" i="29"/>
  <c r="G9" i="29"/>
  <c r="H9" i="29" s="1"/>
  <c r="G8" i="29"/>
  <c r="H8" i="29" s="1"/>
  <c r="E7" i="29"/>
  <c r="H7" i="29" s="1"/>
  <c r="H17" i="29" s="1"/>
  <c r="J6" i="29"/>
  <c r="J18" i="10"/>
  <c r="J15" i="10"/>
  <c r="J12" i="10"/>
  <c r="J9" i="10"/>
  <c r="J6" i="10"/>
  <c r="E23" i="2"/>
  <c r="E18" i="2"/>
  <c r="D18" i="2"/>
  <c r="D23" i="2" s="1"/>
  <c r="E10" i="2"/>
  <c r="N26" i="28"/>
  <c r="N28" i="28" s="1"/>
  <c r="R35" i="28"/>
  <c r="C37" i="28"/>
  <c r="C28" i="28"/>
  <c r="C18" i="28"/>
  <c r="E16" i="28"/>
  <c r="E14" i="28"/>
  <c r="C8" i="28"/>
  <c r="G36" i="27"/>
  <c r="E16" i="27"/>
  <c r="E14" i="27"/>
  <c r="C18" i="27"/>
  <c r="C8" i="27"/>
  <c r="H25" i="31" l="1"/>
  <c r="H31" i="31" s="1"/>
  <c r="H13" i="31"/>
  <c r="H15" i="31"/>
  <c r="H14" i="31"/>
  <c r="H9" i="31"/>
  <c r="H10" i="31"/>
  <c r="H11" i="31"/>
  <c r="N37" i="28"/>
  <c r="C16" i="20"/>
  <c r="E38" i="19"/>
  <c r="F38" i="19"/>
  <c r="D38" i="19"/>
  <c r="F37" i="19"/>
  <c r="E37" i="19"/>
  <c r="D37" i="19"/>
  <c r="E11" i="25"/>
  <c r="H11" i="25" s="1"/>
  <c r="E11" i="1"/>
  <c r="G14" i="25"/>
  <c r="H14" i="25" s="1"/>
  <c r="G13" i="25"/>
  <c r="H13" i="25" s="1"/>
  <c r="G12" i="25"/>
  <c r="H12" i="25" s="1"/>
  <c r="G11" i="25"/>
  <c r="G9" i="25"/>
  <c r="H9" i="25" s="1"/>
  <c r="G8" i="25"/>
  <c r="H8" i="25" s="1"/>
  <c r="G7" i="25"/>
  <c r="H7" i="25" s="1"/>
  <c r="H6" i="25"/>
  <c r="C18" i="22"/>
  <c r="E11" i="22" s="1"/>
  <c r="F11" i="22" s="1"/>
  <c r="E10" i="22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C9" i="20"/>
  <c r="H18" i="31" l="1"/>
  <c r="E9" i="22"/>
  <c r="F9" i="22" s="1"/>
  <c r="C104" i="20"/>
  <c r="C38" i="20"/>
  <c r="C64" i="20"/>
  <c r="C128" i="20"/>
  <c r="C72" i="20"/>
  <c r="C136" i="20"/>
  <c r="C96" i="20"/>
  <c r="C156" i="20"/>
  <c r="C40" i="20"/>
  <c r="H16" i="25"/>
  <c r="G9" i="22"/>
  <c r="F10" i="22"/>
  <c r="G10" i="22" s="1"/>
  <c r="G11" i="22"/>
  <c r="C32" i="20"/>
  <c r="C48" i="20"/>
  <c r="C80" i="20"/>
  <c r="C112" i="20"/>
  <c r="C144" i="20"/>
  <c r="C30" i="20"/>
  <c r="C46" i="20"/>
  <c r="C56" i="20"/>
  <c r="C88" i="20"/>
  <c r="C120" i="20"/>
  <c r="C152" i="20"/>
  <c r="C62" i="20"/>
  <c r="C70" i="20"/>
  <c r="C78" i="20"/>
  <c r="C86" i="20"/>
  <c r="C94" i="20"/>
  <c r="C102" i="20"/>
  <c r="C110" i="20"/>
  <c r="C118" i="20"/>
  <c r="C126" i="20"/>
  <c r="C134" i="20"/>
  <c r="C142" i="20"/>
  <c r="C150" i="20"/>
  <c r="C158" i="20"/>
  <c r="C54" i="20"/>
  <c r="C36" i="20"/>
  <c r="C44" i="20"/>
  <c r="C52" i="20"/>
  <c r="C60" i="20"/>
  <c r="C68" i="20"/>
  <c r="C76" i="20"/>
  <c r="C84" i="20"/>
  <c r="C92" i="20"/>
  <c r="C100" i="20"/>
  <c r="C108" i="20"/>
  <c r="C116" i="20"/>
  <c r="C124" i="20"/>
  <c r="C132" i="20"/>
  <c r="C140" i="20"/>
  <c r="C148" i="20"/>
  <c r="C183" i="20"/>
  <c r="C181" i="20"/>
  <c r="C179" i="20"/>
  <c r="C177" i="20"/>
  <c r="C175" i="20"/>
  <c r="C173" i="20"/>
  <c r="C171" i="20"/>
  <c r="C169" i="20"/>
  <c r="C167" i="20"/>
  <c r="C165" i="20"/>
  <c r="C163" i="20"/>
  <c r="C161" i="20"/>
  <c r="C159" i="20"/>
  <c r="C157" i="20"/>
  <c r="C155" i="20"/>
  <c r="C153" i="20"/>
  <c r="C151" i="20"/>
  <c r="C149" i="20"/>
  <c r="C147" i="20"/>
  <c r="C145" i="20"/>
  <c r="C143" i="20"/>
  <c r="C141" i="20"/>
  <c r="C139" i="20"/>
  <c r="C137" i="20"/>
  <c r="C135" i="20"/>
  <c r="C133" i="20"/>
  <c r="C131" i="20"/>
  <c r="C129" i="20"/>
  <c r="C127" i="20"/>
  <c r="C125" i="20"/>
  <c r="C123" i="20"/>
  <c r="C121" i="20"/>
  <c r="C119" i="20"/>
  <c r="C117" i="20"/>
  <c r="C115" i="20"/>
  <c r="C113" i="20"/>
  <c r="C111" i="20"/>
  <c r="C109" i="20"/>
  <c r="C107" i="20"/>
  <c r="C105" i="20"/>
  <c r="C103" i="20"/>
  <c r="C101" i="20"/>
  <c r="C99" i="20"/>
  <c r="C97" i="20"/>
  <c r="C95" i="20"/>
  <c r="C93" i="20"/>
  <c r="C91" i="20"/>
  <c r="C89" i="20"/>
  <c r="C87" i="20"/>
  <c r="C85" i="20"/>
  <c r="C83" i="20"/>
  <c r="C81" i="20"/>
  <c r="C79" i="20"/>
  <c r="C77" i="20"/>
  <c r="C75" i="20"/>
  <c r="C73" i="20"/>
  <c r="C71" i="20"/>
  <c r="C69" i="20"/>
  <c r="C67" i="20"/>
  <c r="C65" i="20"/>
  <c r="C63" i="20"/>
  <c r="C61" i="20"/>
  <c r="C59" i="20"/>
  <c r="C57" i="20"/>
  <c r="C55" i="20"/>
  <c r="C53" i="20"/>
  <c r="C51" i="20"/>
  <c r="C49" i="20"/>
  <c r="C47" i="20"/>
  <c r="C45" i="20"/>
  <c r="C43" i="20"/>
  <c r="C41" i="20"/>
  <c r="C39" i="20"/>
  <c r="C37" i="20"/>
  <c r="C35" i="20"/>
  <c r="C33" i="20"/>
  <c r="C31" i="20"/>
  <c r="C29" i="20"/>
  <c r="C27" i="20"/>
  <c r="F7" i="20"/>
  <c r="C180" i="20"/>
  <c r="C176" i="20"/>
  <c r="C172" i="20"/>
  <c r="C166" i="20"/>
  <c r="C162" i="20"/>
  <c r="C182" i="20"/>
  <c r="C178" i="20"/>
  <c r="C174" i="20"/>
  <c r="C170" i="20"/>
  <c r="C168" i="20"/>
  <c r="C164" i="20"/>
  <c r="C160" i="20"/>
  <c r="C28" i="20"/>
  <c r="C34" i="20"/>
  <c r="C42" i="20"/>
  <c r="C50" i="20"/>
  <c r="C58" i="20"/>
  <c r="C66" i="20"/>
  <c r="C74" i="20"/>
  <c r="C82" i="20"/>
  <c r="C90" i="20"/>
  <c r="C98" i="20"/>
  <c r="C106" i="20"/>
  <c r="C114" i="20"/>
  <c r="C122" i="20"/>
  <c r="C130" i="20"/>
  <c r="C138" i="20"/>
  <c r="C146" i="20"/>
  <c r="C154" i="20"/>
  <c r="F10" i="20" l="1"/>
  <c r="F8" i="20"/>
  <c r="D40" i="19"/>
  <c r="F40" i="19"/>
  <c r="C31" i="19"/>
  <c r="E38" i="18"/>
  <c r="F38" i="18"/>
  <c r="D38" i="18"/>
  <c r="E37" i="18"/>
  <c r="E40" i="18" s="1"/>
  <c r="F37" i="18"/>
  <c r="D37" i="18"/>
  <c r="C31" i="18"/>
  <c r="G25" i="17"/>
  <c r="C26" i="17" s="1"/>
  <c r="E26" i="17" s="1"/>
  <c r="B26" i="17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C20" i="17"/>
  <c r="C21" i="17" s="1"/>
  <c r="D28" i="17" s="1"/>
  <c r="D40" i="18" l="1"/>
  <c r="F40" i="18"/>
  <c r="E40" i="19"/>
  <c r="D27" i="17"/>
  <c r="D33" i="17"/>
  <c r="D30" i="17"/>
  <c r="D35" i="17"/>
  <c r="D34" i="17"/>
  <c r="D32" i="17"/>
  <c r="D31" i="17"/>
  <c r="D26" i="17"/>
  <c r="D37" i="17"/>
  <c r="D29" i="17"/>
  <c r="D36" i="17"/>
  <c r="D39" i="17" l="1"/>
  <c r="F26" i="17"/>
  <c r="G26" i="17" l="1"/>
  <c r="C27" i="17" s="1"/>
  <c r="E27" i="17" s="1"/>
  <c r="G11" i="1"/>
  <c r="H11" i="1"/>
  <c r="H9" i="1"/>
  <c r="H7" i="1"/>
  <c r="H6" i="1"/>
  <c r="J7" i="12"/>
  <c r="J8" i="12"/>
  <c r="J9" i="12"/>
  <c r="J6" i="12"/>
  <c r="G14" i="12"/>
  <c r="H14" i="12" s="1"/>
  <c r="G13" i="12"/>
  <c r="H13" i="12" s="1"/>
  <c r="G12" i="12"/>
  <c r="H12" i="12" s="1"/>
  <c r="G11" i="12"/>
  <c r="H11" i="12" s="1"/>
  <c r="G9" i="12"/>
  <c r="G8" i="12"/>
  <c r="G7" i="12"/>
  <c r="H6" i="12"/>
  <c r="K6" i="12" s="1"/>
  <c r="G15" i="10"/>
  <c r="H15" i="10" s="1"/>
  <c r="G14" i="10"/>
  <c r="H14" i="10" s="1"/>
  <c r="G13" i="10"/>
  <c r="H13" i="10" s="1"/>
  <c r="G12" i="10"/>
  <c r="H12" i="10" s="1"/>
  <c r="G10" i="10"/>
  <c r="H10" i="10" s="1"/>
  <c r="G9" i="10"/>
  <c r="H9" i="10" s="1"/>
  <c r="G8" i="10"/>
  <c r="H8" i="10" s="1"/>
  <c r="H7" i="10"/>
  <c r="C15" i="3"/>
  <c r="G12" i="1"/>
  <c r="H12" i="1" s="1"/>
  <c r="G9" i="1"/>
  <c r="G8" i="1"/>
  <c r="H8" i="1" s="1"/>
  <c r="G7" i="1"/>
  <c r="H8" i="12" l="1"/>
  <c r="K8" i="12" s="1"/>
  <c r="L8" i="12"/>
  <c r="M8" i="12" s="1"/>
  <c r="O8" i="12" s="1"/>
  <c r="P8" i="12" s="1"/>
  <c r="H7" i="12"/>
  <c r="K7" i="12" s="1"/>
  <c r="L7" i="12"/>
  <c r="M7" i="12" s="1"/>
  <c r="O7" i="12" s="1"/>
  <c r="P7" i="12" s="1"/>
  <c r="H9" i="12"/>
  <c r="K9" i="12" s="1"/>
  <c r="L9" i="12"/>
  <c r="M9" i="12" s="1"/>
  <c r="O9" i="12" s="1"/>
  <c r="P9" i="12" s="1"/>
  <c r="F27" i="17"/>
  <c r="C18" i="3"/>
  <c r="C21" i="3" s="1"/>
  <c r="H18" i="12"/>
  <c r="H14" i="1"/>
  <c r="H17" i="10"/>
  <c r="C5" i="5" l="1"/>
  <c r="H19" i="29"/>
  <c r="H21" i="29" s="1"/>
  <c r="P11" i="12"/>
  <c r="K11" i="12"/>
  <c r="H16" i="12"/>
  <c r="H20" i="12"/>
  <c r="H24" i="12" s="1"/>
  <c r="G27" i="17"/>
  <c r="C28" i="17" s="1"/>
  <c r="E28" i="17" s="1"/>
  <c r="C6" i="5"/>
  <c r="H25" i="29" l="1"/>
  <c r="I19" i="29"/>
  <c r="I17" i="29"/>
  <c r="C8" i="5"/>
  <c r="F28" i="17"/>
  <c r="G28" i="17" l="1"/>
  <c r="C29" i="17" s="1"/>
  <c r="E29" i="17" s="1"/>
  <c r="F29" i="17" l="1"/>
  <c r="G29" i="17" l="1"/>
  <c r="C30" i="17" s="1"/>
  <c r="E30" i="17" s="1"/>
  <c r="F30" i="17" l="1"/>
  <c r="G30" i="17" l="1"/>
  <c r="C31" i="17" s="1"/>
  <c r="E31" i="17" s="1"/>
  <c r="F31" i="17" l="1"/>
  <c r="G31" i="17" s="1"/>
  <c r="C32" i="17" s="1"/>
  <c r="E32" i="17" s="1"/>
  <c r="F32" i="17" s="1"/>
  <c r="G32" i="17" s="1"/>
  <c r="C33" i="17" s="1"/>
  <c r="E33" i="17" s="1"/>
  <c r="F33" i="17" s="1"/>
  <c r="G33" i="17" s="1"/>
  <c r="C34" i="17" s="1"/>
  <c r="E34" i="17" s="1"/>
  <c r="F34" i="17" s="1"/>
  <c r="G34" i="17" s="1"/>
  <c r="C35" i="17" s="1"/>
  <c r="E35" i="17" s="1"/>
  <c r="F35" i="17" s="1"/>
  <c r="G35" i="17" s="1"/>
  <c r="C36" i="17" s="1"/>
  <c r="E36" i="17" s="1"/>
  <c r="F36" i="17" s="1"/>
  <c r="G36" i="17" s="1"/>
  <c r="C37" i="17" s="1"/>
  <c r="E37" i="17" s="1"/>
  <c r="F37" i="17" s="1"/>
  <c r="E39" i="17" l="1"/>
  <c r="G37" i="17"/>
  <c r="F39" i="17"/>
</calcChain>
</file>

<file path=xl/sharedStrings.xml><?xml version="1.0" encoding="utf-8"?>
<sst xmlns="http://schemas.openxmlformats.org/spreadsheetml/2006/main" count="694" uniqueCount="257">
  <si>
    <t>Harina</t>
  </si>
  <si>
    <t>Sal</t>
  </si>
  <si>
    <t>Queso</t>
  </si>
  <si>
    <t>Jamón</t>
  </si>
  <si>
    <t>Aceite</t>
  </si>
  <si>
    <t>Aceitunas</t>
  </si>
  <si>
    <t>Envase</t>
  </si>
  <si>
    <t>Ingrediente</t>
  </si>
  <si>
    <t>Costo unitario</t>
  </si>
  <si>
    <t>Masa</t>
  </si>
  <si>
    <t>Levadura</t>
  </si>
  <si>
    <t>Agregados</t>
  </si>
  <si>
    <t>Salsa Tomate</t>
  </si>
  <si>
    <t>Precio unitario del envase</t>
  </si>
  <si>
    <t>Rendimiento (cualitativo)</t>
  </si>
  <si>
    <t>Cantidad por envase</t>
  </si>
  <si>
    <t>1000 gr</t>
  </si>
  <si>
    <t>500 gr</t>
  </si>
  <si>
    <t>1 litro</t>
  </si>
  <si>
    <t>4 pizzas / 1kg</t>
  </si>
  <si>
    <t>20 g / kg de harina</t>
  </si>
  <si>
    <t>20 cc / pizza</t>
  </si>
  <si>
    <t>65 g / pizza</t>
  </si>
  <si>
    <t>200 g / pizza</t>
  </si>
  <si>
    <t>80 g / pizza</t>
  </si>
  <si>
    <t>40 g / pizza</t>
  </si>
  <si>
    <t>40 g / kg harina</t>
  </si>
  <si>
    <t>C. unit. Variable</t>
  </si>
  <si>
    <t>Envase:</t>
  </si>
  <si>
    <t>Precio unitario:</t>
  </si>
  <si>
    <t>Costo que pagamos por el tamaño del envase, sea por litro, por kilo o cualquier unidad como una caja o diferentes bultos.</t>
  </si>
  <si>
    <t>Rendimiento:</t>
  </si>
  <si>
    <t>El cálculo de, en caso que no sea uno por producto, cuanto rinde nuestro envase. Ej: 1 kilogramo de harina rinde 4 prepizzas.</t>
  </si>
  <si>
    <t>Nos indica el formato en el que se comercializa el producto, la unidad por la cual nosotros pagamos comunmente. Ej: 1 kilo</t>
  </si>
  <si>
    <t>Costo unitario:</t>
  </si>
  <si>
    <t>El costo que tiene dicho insumo en mi producto principal. Cuánto cuesta realmente la cantidad de harina que lleva una pizza.</t>
  </si>
  <si>
    <t>Referencias</t>
  </si>
  <si>
    <t>Alquiler</t>
  </si>
  <si>
    <t>Seguro</t>
  </si>
  <si>
    <t>Energía Gas</t>
  </si>
  <si>
    <t>Energía Eléctrica</t>
  </si>
  <si>
    <t>Expensas</t>
  </si>
  <si>
    <t>Costo fijo total</t>
  </si>
  <si>
    <t>Concepto</t>
  </si>
  <si>
    <t>Monto</t>
  </si>
  <si>
    <t>COSTO UNITARIO = Costo Variable Unitario + Costo Fijo unitario</t>
  </si>
  <si>
    <t>Costos fijos totales:</t>
  </si>
  <si>
    <t>Cantidad de u producidas:</t>
  </si>
  <si>
    <t>Costo fijo unitario</t>
  </si>
  <si>
    <t>Costo variable unitario</t>
  </si>
  <si>
    <t>Costo unitario total</t>
  </si>
  <si>
    <t>Funciones</t>
  </si>
  <si>
    <t>(completar)</t>
  </si>
  <si>
    <t>Margen</t>
  </si>
  <si>
    <t>Precio</t>
  </si>
  <si>
    <t>C. Fijo unitario</t>
  </si>
  <si>
    <t>C. Unitario total</t>
  </si>
  <si>
    <t>Fabricación de pizzas</t>
  </si>
  <si>
    <t>Costos unitarios totales</t>
  </si>
  <si>
    <t>Orden de pedido</t>
  </si>
  <si>
    <t>Q:</t>
  </si>
  <si>
    <t>Cf unitario = Costo fijo total / Cantidad de unidades producidas</t>
  </si>
  <si>
    <t>Cálculo de préstamos/créditos</t>
  </si>
  <si>
    <t>Tasa</t>
  </si>
  <si>
    <t>índice al cual el banco o entidad me presta el dinero</t>
  </si>
  <si>
    <t>Nper</t>
  </si>
  <si>
    <t>Períodos en los que se devuelve el dinero (meses)</t>
  </si>
  <si>
    <t>Va</t>
  </si>
  <si>
    <t>Valor actual del dinero a solicitar</t>
  </si>
  <si>
    <t>Vf</t>
  </si>
  <si>
    <t>Valor final a devolver</t>
  </si>
  <si>
    <t>Tipo</t>
  </si>
  <si>
    <t>Tipo de crédito, los más comunes son alemán y francés.</t>
  </si>
  <si>
    <t>Devuelve:</t>
  </si>
  <si>
    <t>La cuota mensual que habrá que pagar.</t>
  </si>
  <si>
    <t xml:space="preserve">Tasa </t>
  </si>
  <si>
    <t>Años</t>
  </si>
  <si>
    <t>Meses</t>
  </si>
  <si>
    <t>Cuota</t>
  </si>
  <si>
    <t>N° período</t>
  </si>
  <si>
    <t>Saldo inicial</t>
  </si>
  <si>
    <t>Cuota fija</t>
  </si>
  <si>
    <t>Interés</t>
  </si>
  <si>
    <t>Capital</t>
  </si>
  <si>
    <t>Saldo final</t>
  </si>
  <si>
    <t>I</t>
  </si>
  <si>
    <t>E</t>
  </si>
  <si>
    <t>Cf</t>
  </si>
  <si>
    <t>q</t>
  </si>
  <si>
    <t>P</t>
  </si>
  <si>
    <t>Ingresos</t>
  </si>
  <si>
    <t>Egresos</t>
  </si>
  <si>
    <t>Costos fijos</t>
  </si>
  <si>
    <t>Cvu</t>
  </si>
  <si>
    <t>Cantidad</t>
  </si>
  <si>
    <t>I = E</t>
  </si>
  <si>
    <t>Precio $ 200</t>
  </si>
  <si>
    <t>Cvu $100</t>
  </si>
  <si>
    <t>Cfijo $15.000</t>
  </si>
  <si>
    <t>Ingreso = Egreso</t>
  </si>
  <si>
    <t>q . P = Cf + Cv</t>
  </si>
  <si>
    <t>q . P = Cf + Cvu . Q</t>
  </si>
  <si>
    <t>q . ( P - Cvu ) = Cf</t>
  </si>
  <si>
    <t>q = Cf / ( P - Cvu )</t>
  </si>
  <si>
    <t>q =</t>
  </si>
  <si>
    <t>Ingreso</t>
  </si>
  <si>
    <t>Situación 1</t>
  </si>
  <si>
    <t>Situación 2</t>
  </si>
  <si>
    <t>Situación 3</t>
  </si>
  <si>
    <t>Costo fijo</t>
  </si>
  <si>
    <t>Resultado</t>
  </si>
  <si>
    <t>Costo Variable</t>
  </si>
  <si>
    <t>Costos Fijos Mensuales</t>
  </si>
  <si>
    <t>Descripción</t>
  </si>
  <si>
    <t>Importe</t>
  </si>
  <si>
    <t>Cantidad de Equilibrio:</t>
  </si>
  <si>
    <t>Total CF:</t>
  </si>
  <si>
    <t>Ingreso de Equilibrio</t>
  </si>
  <si>
    <t>Costos Variables x unidad</t>
  </si>
  <si>
    <t>Precio de venta x Un.</t>
  </si>
  <si>
    <t>Unidades vendidas</t>
  </si>
  <si>
    <t>costo total</t>
  </si>
  <si>
    <t>IngresoxVentas</t>
  </si>
  <si>
    <t>Punto de Equilibrio</t>
  </si>
  <si>
    <t>Costo unit 1</t>
  </si>
  <si>
    <t>Costo unit 2</t>
  </si>
  <si>
    <t>Costo unit 3</t>
  </si>
  <si>
    <t>Sueldos</t>
  </si>
  <si>
    <t>Otros</t>
  </si>
  <si>
    <t>Total Cv unitario</t>
  </si>
  <si>
    <t>Costo</t>
  </si>
  <si>
    <t>Producto A</t>
  </si>
  <si>
    <t>Costo flete</t>
  </si>
  <si>
    <t>Flete con productos diferentes</t>
  </si>
  <si>
    <t>Pedido total</t>
  </si>
  <si>
    <t>Compro mercadería por valor de 60.000</t>
  </si>
  <si>
    <t>Producto B</t>
  </si>
  <si>
    <t>Producto C</t>
  </si>
  <si>
    <t>Costo flete por unidad de dinero</t>
  </si>
  <si>
    <t>COSTO f u dinero = monto total del flete / cantidad de dinero que traigo (productos)</t>
  </si>
  <si>
    <t xml:space="preserve">Costo f u </t>
  </si>
  <si>
    <t>Por cada peso que yo traigo , estoy pagando un costo de 4 centavos</t>
  </si>
  <si>
    <t>C u f</t>
  </si>
  <si>
    <t>Distribución homogenea</t>
  </si>
  <si>
    <t>Precio final c flete</t>
  </si>
  <si>
    <t>Precio a/ flete</t>
  </si>
  <si>
    <t>Impacto en el precio de nuestro flete</t>
  </si>
  <si>
    <t>Impacto relativo del flete</t>
  </si>
  <si>
    <t>Adjudicarle a cada producto , un costo de flete proporcional al valor que tenga el mismo</t>
  </si>
  <si>
    <t>Lista de precios</t>
  </si>
  <si>
    <t>Precio - Cvu</t>
  </si>
  <si>
    <t>Ingreso = Precio del producto  x  cantidades vendidas</t>
  </si>
  <si>
    <t>Costos = Costos fijos totales + Costo variable unitario  x cantidades vendidas</t>
  </si>
  <si>
    <t>Resultado =   INGRESA - EGRESA (sale)</t>
  </si>
  <si>
    <t>5 unidades diarias promedio</t>
  </si>
  <si>
    <t>Precio =</t>
  </si>
  <si>
    <t>+</t>
  </si>
  <si>
    <t>=</t>
  </si>
  <si>
    <t>Margen (absoluto)</t>
  </si>
  <si>
    <r>
      <t>Precio</t>
    </r>
    <r>
      <rPr>
        <sz val="11"/>
        <color rgb="FF0070C0"/>
        <rFont val="Calibri"/>
        <family val="2"/>
        <scheme val="minor"/>
      </rPr>
      <t xml:space="preserve"> =</t>
    </r>
  </si>
  <si>
    <t>Margen (relativo)</t>
  </si>
  <si>
    <t>P = Costo +  Margen</t>
  </si>
  <si>
    <t>P = Costo +  (Costo . X%)</t>
  </si>
  <si>
    <t>P = Costo . (1+ Margen%)</t>
  </si>
  <si>
    <t>Fórmula empleada</t>
  </si>
  <si>
    <t>Si el mercado lo permite</t>
  </si>
  <si>
    <t>P =</t>
  </si>
  <si>
    <t>C</t>
  </si>
  <si>
    <t>( C . X% )</t>
  </si>
  <si>
    <t>.</t>
  </si>
  <si>
    <t>( 1 + X% )</t>
  </si>
  <si>
    <t xml:space="preserve">P </t>
  </si>
  <si>
    <t>-</t>
  </si>
  <si>
    <t>Si el mercado lo fija</t>
  </si>
  <si>
    <r>
      <t xml:space="preserve">Carácter productivo - </t>
    </r>
    <r>
      <rPr>
        <b/>
        <sz val="11"/>
        <color rgb="FF0070C0"/>
        <rFont val="Calibri"/>
        <family val="2"/>
        <scheme val="minor"/>
      </rPr>
      <t>reventa</t>
    </r>
  </si>
  <si>
    <r>
      <t xml:space="preserve">Carácter productivo - </t>
    </r>
    <r>
      <rPr>
        <b/>
        <sz val="11"/>
        <color rgb="FF0070C0"/>
        <rFont val="Calibri"/>
        <family val="2"/>
        <scheme val="minor"/>
      </rPr>
      <t>fabricación</t>
    </r>
  </si>
  <si>
    <t>Costo =</t>
  </si>
  <si>
    <t>SUMA de todos los costos de fabricación</t>
  </si>
  <si>
    <t>Precio unitario de compra del producto</t>
  </si>
  <si>
    <t>C. directos + C. indirectos</t>
  </si>
  <si>
    <t>Mg =</t>
  </si>
  <si>
    <t>P compra del insumo + Flete</t>
  </si>
  <si>
    <t>Envase =</t>
  </si>
  <si>
    <t>kg</t>
  </si>
  <si>
    <t>Rendimiento =</t>
  </si>
  <si>
    <t>Cantidad Unitaria</t>
  </si>
  <si>
    <t>Refiere al requerimiento individual de los que precisamos para 1 unidad de nuestro producto, expresado en la misma unidad que el envase.</t>
  </si>
  <si>
    <t>Cant. Unitaria</t>
  </si>
  <si>
    <t>Cantidad por unidad</t>
  </si>
  <si>
    <t>Costo unitario=</t>
  </si>
  <si>
    <t>Costo total del envase</t>
  </si>
  <si>
    <t>Cantidad de u por envase</t>
  </si>
  <si>
    <t>Misma unidad de medida</t>
  </si>
  <si>
    <t>Aspectos Productivos</t>
  </si>
  <si>
    <t>Buscar Valor</t>
  </si>
  <si>
    <t>"=BUSCARV(    )"</t>
  </si>
  <si>
    <t>Cálculo del costo operativo</t>
  </si>
  <si>
    <t>G. Legales</t>
  </si>
  <si>
    <t>Q envases real</t>
  </si>
  <si>
    <t>Q envases teórico</t>
  </si>
  <si>
    <t>Q envases proveedor</t>
  </si>
  <si>
    <t>Q envases a comprar</t>
  </si>
  <si>
    <r>
      <t xml:space="preserve">Definición de </t>
    </r>
    <r>
      <rPr>
        <b/>
        <sz val="11"/>
        <color theme="1"/>
        <rFont val="Calibri"/>
        <family val="2"/>
        <scheme val="minor"/>
      </rPr>
      <t>Precio</t>
    </r>
  </si>
  <si>
    <t>Ventas por objetivos</t>
  </si>
  <si>
    <t>Objetivo</t>
  </si>
  <si>
    <t>El concepto de ventas por objetivo refiere a definir un valor X de beneficio económico (u otra variable que deseo alcanzar) y considerar las ventas que debo realizar para lograr dicha meta.</t>
  </si>
  <si>
    <t>Ejemplo: pretendo obtener un beneficio o ganancia de $ 45.000 / mes neto de ventas.</t>
  </si>
  <si>
    <t>Para que el beneficio sea igual o superior a $ 45.000 / mes, debe darse la siguiente condición</t>
  </si>
  <si>
    <t>P x q</t>
  </si>
  <si>
    <t>C x q</t>
  </si>
  <si>
    <t>(</t>
  </si>
  <si>
    <t>P - C )</t>
  </si>
  <si>
    <t>( P - C )</t>
  </si>
  <si>
    <t>Ejemplo</t>
  </si>
  <si>
    <t>Monetizar una determinada situación</t>
  </si>
  <si>
    <t>Producto 1 - Pizza con Jamón y Queso</t>
  </si>
  <si>
    <t>Producto 2 - Pizza de queso</t>
  </si>
  <si>
    <t>Producto 1</t>
  </si>
  <si>
    <t>Producto 2</t>
  </si>
  <si>
    <t>Costo total</t>
  </si>
  <si>
    <t>Subsecretaría de Producción</t>
  </si>
  <si>
    <t>Secretaría de Desarrollo Económico</t>
  </si>
  <si>
    <r>
      <t xml:space="preserve">Responsable: Subsecretario </t>
    </r>
    <r>
      <rPr>
        <b/>
        <sz val="9"/>
        <color rgb="FF0070C0"/>
        <rFont val="Leelawadee"/>
        <family val="2"/>
        <charset val="222"/>
      </rPr>
      <t>Ing. Franco Castellazzi</t>
    </r>
  </si>
  <si>
    <t>Packaging</t>
  </si>
  <si>
    <t>Caja</t>
  </si>
  <si>
    <t>Cinta</t>
  </si>
  <si>
    <t>1 u</t>
  </si>
  <si>
    <t>1 caja / unidad</t>
  </si>
  <si>
    <t>rollo 50m</t>
  </si>
  <si>
    <t>2 metro / pizza</t>
  </si>
  <si>
    <t>Sueldo</t>
  </si>
  <si>
    <t>Total masa u:</t>
  </si>
  <si>
    <t>Sueldo Empleada/o</t>
  </si>
  <si>
    <t>Formulario F31</t>
  </si>
  <si>
    <t>Amortización</t>
  </si>
  <si>
    <t>usd</t>
  </si>
  <si>
    <t>vida útil 3 años</t>
  </si>
  <si>
    <t>valor venta</t>
  </si>
  <si>
    <t>Valor compra</t>
  </si>
  <si>
    <t>Necesitar dentro de 3 años</t>
  </si>
  <si>
    <t>Vida útil</t>
  </si>
  <si>
    <t>Consulta sobre amortización de capital (comprar el bien o herramienta dentro de por ejemplo 3 años)</t>
  </si>
  <si>
    <t>Valor de Mano de Obra estipulado</t>
  </si>
  <si>
    <t>Tiempo [horas]</t>
  </si>
  <si>
    <t>Tiempo que insume la elaboración [minutos]</t>
  </si>
  <si>
    <t>Cantidad de productos que se hacen en dicho tiempo</t>
  </si>
  <si>
    <t>(Porque muchas veces se produce por lote o por cantidad)</t>
  </si>
  <si>
    <t>Tiempo unitario por producto</t>
  </si>
  <si>
    <t>Costo unitario por producto</t>
  </si>
  <si>
    <t>Cuanto consideramos que tiene como valor mi hora de trabajo</t>
  </si>
  <si>
    <t>Tiempo afectado a la tarea de producción</t>
  </si>
  <si>
    <t>Pasado a horas</t>
  </si>
  <si>
    <t>Consulta sobre calculo de MO para elaboración de productos (Lala Cakes)</t>
  </si>
  <si>
    <t>El tiempo que finalmente me lleva producir 1 unidad</t>
  </si>
  <si>
    <t>minutos</t>
  </si>
  <si>
    <t>(ejemplo 1 docena)</t>
  </si>
  <si>
    <t>horas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</si>
</sst>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\ #,##0;[Red]\-&quot;$&quot;\ #,##0"/>
    <numFmt numFmtId="8" formatCode="&quot;$&quot;\ #,##0.00;[Red]\-&quot;$&quot;\ #,##0.00"/>
    <numFmt numFmtId="44" formatCode="_-&quot;$&quot;\ * #,##0.00_-;\-&quot;$&quot;\ * #,##0.00_-;_-&quot;$&quot;\ * &quot;-&quot;??_-;_-@_-"/>
    <numFmt numFmtId="164" formatCode="_-&quot;$&quot;\ * #,##0.0_-;\-&quot;$&quot;\ * #,##0.0_-;_-&quot;$&quot;\ * &quot;-&quot;??_-;_-@_-"/>
    <numFmt numFmtId="165" formatCode="_-&quot;$&quot;\ * #,##0_-;\-&quot;$&quot;\ * #,##0_-;_-&quot;$&quot;\ * &quot;-&quot;??_-;_-@_-"/>
    <numFmt numFmtId="166" formatCode="_-&quot;$&quot;\ * #,##0.0_-;\-&quot;$&quot;\ * #,##0.0_-;_-&quot;$&quot;\ * &quot;-&quot;?_-;_-@_-"/>
    <numFmt numFmtId="167" formatCode="&quot;$&quot;\ #,##0"/>
    <numFmt numFmtId="168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u/>
      <sz val="11"/>
      <color rgb="FF0070C0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Arial"/>
      <family val="2"/>
    </font>
    <font>
      <b/>
      <sz val="16"/>
      <color rgb="FF0070C0"/>
      <name val="Gadugi"/>
      <family val="2"/>
    </font>
    <font>
      <b/>
      <sz val="12"/>
      <color rgb="FFBFBFBF"/>
      <name val="Gadugi"/>
      <family val="2"/>
    </font>
    <font>
      <sz val="11"/>
      <name val="Arial"/>
      <family val="2"/>
    </font>
    <font>
      <sz val="9"/>
      <color rgb="FF7F7F7F"/>
      <name val="Leelawadee"/>
      <family val="2"/>
      <charset val="222"/>
    </font>
    <font>
      <b/>
      <sz val="9"/>
      <color rgb="FF0070C0"/>
      <name val="Leelawadee"/>
      <family val="2"/>
      <charset val="22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2">
    <xf numFmtId="0" fontId="0" fillId="0" borderId="0" xfId="0"/>
    <xf numFmtId="0" fontId="0" fillId="2" borderId="0" xfId="0" applyFill="1"/>
    <xf numFmtId="44" fontId="0" fillId="2" borderId="0" xfId="0" applyNumberFormat="1" applyFill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44" fontId="0" fillId="2" borderId="1" xfId="1" applyFont="1" applyFill="1" applyBorder="1"/>
    <xf numFmtId="165" fontId="0" fillId="2" borderId="1" xfId="1" applyNumberFormat="1" applyFont="1" applyFill="1" applyBorder="1"/>
    <xf numFmtId="44" fontId="0" fillId="2" borderId="1" xfId="1" applyNumberFormat="1" applyFont="1" applyFill="1" applyBorder="1"/>
    <xf numFmtId="1" fontId="0" fillId="2" borderId="1" xfId="0" applyNumberForma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2" fillId="3" borderId="5" xfId="0" applyFont="1" applyFill="1" applyBorder="1"/>
    <xf numFmtId="164" fontId="2" fillId="3" borderId="6" xfId="1" applyNumberFormat="1" applyFont="1" applyFill="1" applyBorder="1"/>
    <xf numFmtId="0" fontId="0" fillId="2" borderId="0" xfId="0" applyFill="1" applyAlignment="1">
      <alignment horizontal="left" indent="1"/>
    </xf>
    <xf numFmtId="0" fontId="0" fillId="0" borderId="0" xfId="0" applyAlignment="1">
      <alignment horizontal="left" indent="1"/>
    </xf>
    <xf numFmtId="0" fontId="5" fillId="2" borderId="0" xfId="0" applyFont="1" applyFill="1"/>
    <xf numFmtId="0" fontId="0" fillId="2" borderId="0" xfId="0" applyFill="1" applyAlignment="1">
      <alignment horizontal="left" indent="2"/>
    </xf>
    <xf numFmtId="165" fontId="0" fillId="2" borderId="0" xfId="1" applyNumberFormat="1" applyFont="1" applyFill="1"/>
    <xf numFmtId="0" fontId="0" fillId="2" borderId="8" xfId="0" applyFill="1" applyBorder="1"/>
    <xf numFmtId="165" fontId="0" fillId="2" borderId="8" xfId="1" applyNumberFormat="1" applyFont="1" applyFill="1" applyBorder="1"/>
    <xf numFmtId="165" fontId="0" fillId="2" borderId="0" xfId="0" applyNumberFormat="1" applyFill="1"/>
    <xf numFmtId="164" fontId="0" fillId="2" borderId="0" xfId="0" applyNumberFormat="1" applyFill="1"/>
    <xf numFmtId="0" fontId="0" fillId="2" borderId="0" xfId="0" applyFill="1" applyBorder="1"/>
    <xf numFmtId="9" fontId="0" fillId="2" borderId="0" xfId="0" applyNumberFormat="1" applyFill="1"/>
    <xf numFmtId="9" fontId="2" fillId="3" borderId="6" xfId="2" applyFont="1" applyFill="1" applyBorder="1"/>
    <xf numFmtId="166" fontId="0" fillId="2" borderId="0" xfId="0" applyNumberFormat="1" applyFill="1"/>
    <xf numFmtId="0" fontId="0" fillId="2" borderId="0" xfId="0" applyFill="1" applyBorder="1" applyAlignment="1">
      <alignment horizontal="left" vertical="top" wrapText="1" indent="1"/>
    </xf>
    <xf numFmtId="0" fontId="0" fillId="2" borderId="0" xfId="0" applyFill="1" applyAlignment="1">
      <alignment horizontal="left" indent="3"/>
    </xf>
    <xf numFmtId="0" fontId="0" fillId="2" borderId="1" xfId="0" applyFill="1" applyBorder="1" applyAlignment="1">
      <alignment horizontal="left" indent="1"/>
    </xf>
    <xf numFmtId="0" fontId="0" fillId="2" borderId="1" xfId="0" applyFill="1" applyBorder="1" applyAlignment="1">
      <alignment horizontal="left"/>
    </xf>
    <xf numFmtId="44" fontId="2" fillId="3" borderId="6" xfId="1" applyNumberFormat="1" applyFont="1" applyFill="1" applyBorder="1"/>
    <xf numFmtId="2" fontId="0" fillId="2" borderId="1" xfId="0" applyNumberFormat="1" applyFill="1" applyBorder="1" applyAlignment="1">
      <alignment horizontal="center"/>
    </xf>
    <xf numFmtId="164" fontId="0" fillId="2" borderId="0" xfId="1" applyNumberFormat="1" applyFont="1" applyFill="1"/>
    <xf numFmtId="164" fontId="0" fillId="2" borderId="8" xfId="1" applyNumberFormat="1" applyFont="1" applyFill="1" applyBorder="1"/>
    <xf numFmtId="164" fontId="4" fillId="3" borderId="0" xfId="0" applyNumberFormat="1" applyFont="1" applyFill="1"/>
    <xf numFmtId="0" fontId="4" fillId="3" borderId="0" xfId="0" applyFont="1" applyFill="1"/>
    <xf numFmtId="166" fontId="4" fillId="3" borderId="0" xfId="0" applyNumberFormat="1" applyFont="1" applyFill="1"/>
    <xf numFmtId="0" fontId="4" fillId="3" borderId="1" xfId="0" applyFont="1" applyFill="1" applyBorder="1"/>
    <xf numFmtId="165" fontId="1" fillId="2" borderId="1" xfId="1" applyNumberFormat="1" applyFont="1" applyFill="1" applyBorder="1"/>
    <xf numFmtId="0" fontId="0" fillId="0" borderId="1" xfId="0" applyFill="1" applyBorder="1" applyAlignment="1">
      <alignment horizontal="left" indent="1"/>
    </xf>
    <xf numFmtId="0" fontId="0" fillId="0" borderId="1" xfId="0" applyFill="1" applyBorder="1" applyAlignment="1">
      <alignment horizontal="center"/>
    </xf>
    <xf numFmtId="165" fontId="0" fillId="0" borderId="1" xfId="1" applyNumberFormat="1" applyFont="1" applyFill="1" applyBorder="1"/>
    <xf numFmtId="1" fontId="0" fillId="0" borderId="1" xfId="0" applyNumberFormat="1" applyFill="1" applyBorder="1" applyAlignment="1">
      <alignment horizontal="center"/>
    </xf>
    <xf numFmtId="44" fontId="0" fillId="0" borderId="1" xfId="1" applyNumberFormat="1" applyFont="1" applyFill="1" applyBorder="1"/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9" fontId="0" fillId="6" borderId="1" xfId="0" applyNumberFormat="1" applyFill="1" applyBorder="1"/>
    <xf numFmtId="0" fontId="0" fillId="6" borderId="1" xfId="0" applyFill="1" applyBorder="1"/>
    <xf numFmtId="8" fontId="0" fillId="2" borderId="1" xfId="0" applyNumberFormat="1" applyFill="1" applyBorder="1"/>
    <xf numFmtId="165" fontId="0" fillId="6" borderId="1" xfId="1" applyNumberFormat="1" applyFont="1" applyFill="1" applyBorder="1"/>
    <xf numFmtId="165" fontId="0" fillId="2" borderId="1" xfId="0" applyNumberFormat="1" applyFill="1" applyBorder="1"/>
    <xf numFmtId="6" fontId="0" fillId="2" borderId="1" xfId="0" applyNumberFormat="1" applyFill="1" applyBorder="1"/>
    <xf numFmtId="6" fontId="0" fillId="2" borderId="8" xfId="0" applyNumberFormat="1" applyFill="1" applyBorder="1"/>
    <xf numFmtId="0" fontId="0" fillId="7" borderId="1" xfId="0" applyFill="1" applyBorder="1" applyAlignment="1">
      <alignment horizontal="center"/>
    </xf>
    <xf numFmtId="165" fontId="0" fillId="2" borderId="0" xfId="1" applyNumberFormat="1" applyFont="1" applyFill="1" applyBorder="1"/>
    <xf numFmtId="9" fontId="0" fillId="2" borderId="0" xfId="0" applyNumberFormat="1" applyFill="1" applyBorder="1"/>
    <xf numFmtId="165" fontId="0" fillId="2" borderId="0" xfId="0" applyNumberFormat="1" applyFill="1" applyBorder="1"/>
    <xf numFmtId="8" fontId="0" fillId="2" borderId="0" xfId="0" applyNumberFormat="1" applyFill="1" applyBorder="1"/>
    <xf numFmtId="0" fontId="4" fillId="2" borderId="0" xfId="0" applyFont="1" applyFill="1" applyBorder="1" applyAlignment="1">
      <alignment horizontal="center" vertical="center"/>
    </xf>
    <xf numFmtId="6" fontId="0" fillId="2" borderId="0" xfId="0" applyNumberFormat="1" applyFill="1" applyBorder="1"/>
    <xf numFmtId="2" fontId="0" fillId="2" borderId="0" xfId="0" applyNumberFormat="1" applyFill="1" applyBorder="1" applyAlignment="1">
      <alignment horizontal="left"/>
    </xf>
    <xf numFmtId="165" fontId="0" fillId="2" borderId="2" xfId="0" applyNumberFormat="1" applyFill="1" applyBorder="1"/>
    <xf numFmtId="6" fontId="0" fillId="2" borderId="2" xfId="0" applyNumberFormat="1" applyFill="1" applyBorder="1"/>
    <xf numFmtId="6" fontId="0" fillId="2" borderId="15" xfId="0" applyNumberFormat="1" applyFill="1" applyBorder="1"/>
    <xf numFmtId="1" fontId="0" fillId="2" borderId="1" xfId="0" applyNumberFormat="1" applyFill="1" applyBorder="1"/>
    <xf numFmtId="6" fontId="4" fillId="8" borderId="1" xfId="0" applyNumberFormat="1" applyFont="1" applyFill="1" applyBorder="1"/>
    <xf numFmtId="165" fontId="4" fillId="8" borderId="1" xfId="0" applyNumberFormat="1" applyFont="1" applyFill="1" applyBorder="1"/>
    <xf numFmtId="0" fontId="4" fillId="8" borderId="14" xfId="0" applyFont="1" applyFill="1" applyBorder="1"/>
    <xf numFmtId="0" fontId="0" fillId="0" borderId="0" xfId="0" applyAlignment="1">
      <alignment horizontal="center"/>
    </xf>
    <xf numFmtId="0" fontId="0" fillId="0" borderId="18" xfId="0" applyBorder="1"/>
    <xf numFmtId="0" fontId="0" fillId="0" borderId="20" xfId="0" applyBorder="1"/>
    <xf numFmtId="0" fontId="0" fillId="0" borderId="1" xfId="0" applyBorder="1"/>
    <xf numFmtId="0" fontId="0" fillId="0" borderId="19" xfId="0" applyBorder="1"/>
    <xf numFmtId="0" fontId="4" fillId="3" borderId="1" xfId="0" applyFont="1" applyFill="1" applyBorder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0" fontId="0" fillId="2" borderId="16" xfId="0" applyFill="1" applyBorder="1"/>
    <xf numFmtId="0" fontId="0" fillId="2" borderId="21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4" fillId="3" borderId="5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167" fontId="0" fillId="2" borderId="1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4" fillId="5" borderId="0" xfId="0" applyFont="1" applyFill="1"/>
    <xf numFmtId="44" fontId="0" fillId="0" borderId="0" xfId="1" applyFont="1"/>
    <xf numFmtId="165" fontId="0" fillId="0" borderId="0" xfId="1" applyNumberFormat="1" applyFont="1"/>
    <xf numFmtId="44" fontId="0" fillId="0" borderId="0" xfId="0" applyNumberFormat="1"/>
    <xf numFmtId="0" fontId="0" fillId="9" borderId="0" xfId="0" applyFont="1" applyFill="1"/>
    <xf numFmtId="9" fontId="0" fillId="0" borderId="0" xfId="2" applyFont="1"/>
    <xf numFmtId="6" fontId="4" fillId="3" borderId="0" xfId="0" applyNumberFormat="1" applyFont="1" applyFill="1" applyBorder="1"/>
    <xf numFmtId="165" fontId="4" fillId="3" borderId="0" xfId="0" applyNumberFormat="1" applyFont="1" applyFill="1" applyBorder="1"/>
    <xf numFmtId="6" fontId="4" fillId="3" borderId="0" xfId="0" applyNumberFormat="1" applyFont="1" applyFill="1" applyBorder="1" applyAlignment="1">
      <alignment horizontal="right"/>
    </xf>
    <xf numFmtId="165" fontId="4" fillId="3" borderId="8" xfId="0" applyNumberFormat="1" applyFont="1" applyFill="1" applyBorder="1"/>
    <xf numFmtId="44" fontId="4" fillId="3" borderId="6" xfId="1" applyFont="1" applyFill="1" applyBorder="1" applyAlignment="1">
      <alignment vertical="center"/>
    </xf>
    <xf numFmtId="2" fontId="4" fillId="3" borderId="6" xfId="0" applyNumberFormat="1" applyFont="1" applyFill="1" applyBorder="1" applyAlignment="1">
      <alignment vertical="center"/>
    </xf>
    <xf numFmtId="168" fontId="0" fillId="2" borderId="0" xfId="0" applyNumberFormat="1" applyFill="1"/>
    <xf numFmtId="0" fontId="4" fillId="3" borderId="1" xfId="0" applyFont="1" applyFill="1" applyBorder="1" applyAlignment="1">
      <alignment horizontal="center" vertical="center"/>
    </xf>
    <xf numFmtId="164" fontId="7" fillId="4" borderId="0" xfId="1" applyNumberFormat="1" applyFont="1" applyFill="1"/>
    <xf numFmtId="165" fontId="7" fillId="4" borderId="0" xfId="1" applyNumberFormat="1" applyFont="1" applyFill="1"/>
    <xf numFmtId="0" fontId="6" fillId="2" borderId="0" xfId="0" applyFont="1" applyFill="1"/>
    <xf numFmtId="9" fontId="7" fillId="4" borderId="0" xfId="2" applyFont="1" applyFill="1" applyAlignment="1">
      <alignment horizontal="center"/>
    </xf>
    <xf numFmtId="0" fontId="0" fillId="2" borderId="23" xfId="0" applyFont="1" applyFill="1" applyBorder="1" applyAlignment="1">
      <alignment horizontal="left" indent="1"/>
    </xf>
    <xf numFmtId="0" fontId="0" fillId="2" borderId="24" xfId="0" applyFill="1" applyBorder="1"/>
    <xf numFmtId="0" fontId="0" fillId="2" borderId="25" xfId="0" applyFill="1" applyBorder="1" applyAlignment="1">
      <alignment horizontal="left" indent="1"/>
    </xf>
    <xf numFmtId="0" fontId="0" fillId="2" borderId="26" xfId="0" applyFill="1" applyBorder="1" applyAlignment="1">
      <alignment horizontal="left" indent="1"/>
    </xf>
    <xf numFmtId="165" fontId="7" fillId="4" borderId="0" xfId="1" applyNumberFormat="1" applyFont="1" applyFill="1" applyAlignment="1">
      <alignment horizontal="center"/>
    </xf>
    <xf numFmtId="0" fontId="0" fillId="2" borderId="0" xfId="0" applyFill="1" applyAlignment="1">
      <alignment horizontal="left"/>
    </xf>
    <xf numFmtId="0" fontId="0" fillId="2" borderId="0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165" fontId="6" fillId="4" borderId="0" xfId="1" applyNumberFormat="1" applyFont="1" applyFill="1"/>
    <xf numFmtId="9" fontId="6" fillId="4" borderId="0" xfId="2" applyFont="1" applyFill="1"/>
    <xf numFmtId="0" fontId="8" fillId="2" borderId="0" xfId="0" applyFont="1" applyFill="1" applyAlignment="1">
      <alignment horizontal="right"/>
    </xf>
    <xf numFmtId="0" fontId="0" fillId="2" borderId="0" xfId="0" applyFont="1" applyFill="1" applyAlignment="1">
      <alignment horizontal="right"/>
    </xf>
    <xf numFmtId="0" fontId="0" fillId="2" borderId="24" xfId="0" applyFill="1" applyBorder="1" applyAlignment="1">
      <alignment horizontal="right"/>
    </xf>
    <xf numFmtId="0" fontId="0" fillId="2" borderId="26" xfId="0" applyFill="1" applyBorder="1"/>
    <xf numFmtId="0" fontId="0" fillId="2" borderId="0" xfId="0" applyFill="1" applyAlignment="1">
      <alignment horizontal="right" vertical="center"/>
    </xf>
    <xf numFmtId="1" fontId="7" fillId="4" borderId="0" xfId="1" applyNumberFormat="1" applyFont="1" applyFill="1"/>
    <xf numFmtId="168" fontId="7" fillId="4" borderId="0" xfId="1" applyNumberFormat="1" applyFont="1" applyFill="1"/>
    <xf numFmtId="0" fontId="5" fillId="2" borderId="0" xfId="0" applyFont="1" applyFill="1" applyAlignment="1">
      <alignment vertical="center"/>
    </xf>
    <xf numFmtId="44" fontId="0" fillId="2" borderId="0" xfId="1" applyFont="1" applyFill="1"/>
    <xf numFmtId="165" fontId="0" fillId="2" borderId="24" xfId="1" applyNumberFormat="1" applyFont="1" applyFill="1" applyBorder="1"/>
    <xf numFmtId="0" fontId="0" fillId="2" borderId="31" xfId="0" applyFill="1" applyBorder="1"/>
    <xf numFmtId="2" fontId="2" fillId="3" borderId="32" xfId="1" applyNumberFormat="1" applyFont="1" applyFill="1" applyBorder="1"/>
    <xf numFmtId="1" fontId="2" fillId="3" borderId="32" xfId="1" applyNumberFormat="1" applyFont="1" applyFill="1" applyBorder="1"/>
    <xf numFmtId="0" fontId="0" fillId="2" borderId="30" xfId="0" applyFill="1" applyBorder="1" applyAlignment="1">
      <alignment horizontal="center"/>
    </xf>
    <xf numFmtId="0" fontId="0" fillId="2" borderId="24" xfId="0" applyFont="1" applyFill="1" applyBorder="1"/>
    <xf numFmtId="0" fontId="11" fillId="10" borderId="0" xfId="0" applyFont="1" applyFill="1"/>
    <xf numFmtId="0" fontId="12" fillId="10" borderId="0" xfId="0" applyFont="1" applyFill="1"/>
    <xf numFmtId="0" fontId="13" fillId="10" borderId="0" xfId="0" applyFont="1" applyFill="1"/>
    <xf numFmtId="0" fontId="14" fillId="10" borderId="0" xfId="0" applyFont="1" applyFill="1"/>
    <xf numFmtId="0" fontId="15" fillId="10" borderId="0" xfId="0" applyFont="1" applyFill="1"/>
    <xf numFmtId="0" fontId="16" fillId="2" borderId="0" xfId="0" applyFont="1" applyFill="1"/>
    <xf numFmtId="0" fontId="17" fillId="10" borderId="0" xfId="0" applyFont="1" applyFill="1"/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left" indent="1"/>
    </xf>
    <xf numFmtId="1" fontId="0" fillId="2" borderId="0" xfId="0" applyNumberFormat="1" applyFill="1" applyBorder="1" applyAlignment="1">
      <alignment horizontal="center"/>
    </xf>
    <xf numFmtId="44" fontId="0" fillId="2" borderId="0" xfId="1" applyNumberFormat="1" applyFont="1" applyFill="1" applyBorder="1"/>
    <xf numFmtId="0" fontId="0" fillId="11" borderId="1" xfId="0" applyFill="1" applyBorder="1" applyAlignment="1">
      <alignment horizontal="left" indent="1"/>
    </xf>
    <xf numFmtId="0" fontId="0" fillId="11" borderId="1" xfId="0" applyFill="1" applyBorder="1" applyAlignment="1">
      <alignment horizontal="center"/>
    </xf>
    <xf numFmtId="165" fontId="0" fillId="11" borderId="1" xfId="1" applyNumberFormat="1" applyFont="1" applyFill="1" applyBorder="1"/>
    <xf numFmtId="1" fontId="0" fillId="11" borderId="1" xfId="0" applyNumberFormat="1" applyFill="1" applyBorder="1" applyAlignment="1">
      <alignment horizontal="center"/>
    </xf>
    <xf numFmtId="44" fontId="0" fillId="11" borderId="1" xfId="1" applyNumberFormat="1" applyFont="1" applyFill="1" applyBorder="1"/>
    <xf numFmtId="0" fontId="4" fillId="5" borderId="1" xfId="0" applyFont="1" applyFill="1" applyBorder="1" applyAlignment="1">
      <alignment horizontal="left" indent="1"/>
    </xf>
    <xf numFmtId="0" fontId="4" fillId="5" borderId="1" xfId="0" applyFont="1" applyFill="1" applyBorder="1" applyAlignment="1">
      <alignment horizontal="center"/>
    </xf>
    <xf numFmtId="165" fontId="4" fillId="5" borderId="1" xfId="1" applyNumberFormat="1" applyFont="1" applyFill="1" applyBorder="1"/>
    <xf numFmtId="9" fontId="0" fillId="2" borderId="0" xfId="2" applyFont="1" applyFill="1" applyAlignment="1">
      <alignment horizontal="left"/>
    </xf>
    <xf numFmtId="0" fontId="4" fillId="1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/>
    </xf>
    <xf numFmtId="165" fontId="4" fillId="5" borderId="0" xfId="1" applyNumberFormat="1" applyFont="1" applyFill="1"/>
    <xf numFmtId="0" fontId="7" fillId="2" borderId="0" xfId="0" applyFont="1" applyFill="1"/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left"/>
    </xf>
    <xf numFmtId="0" fontId="6" fillId="2" borderId="26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9" fillId="2" borderId="27" xfId="0" applyFont="1" applyFill="1" applyBorder="1" applyAlignment="1">
      <alignment horizontal="center" vertical="center" textRotation="90"/>
    </xf>
    <xf numFmtId="0" fontId="9" fillId="2" borderId="28" xfId="0" applyFont="1" applyFill="1" applyBorder="1" applyAlignment="1">
      <alignment horizontal="center" vertical="center" textRotation="90"/>
    </xf>
    <xf numFmtId="0" fontId="9" fillId="2" borderId="29" xfId="0" applyFont="1" applyFill="1" applyBorder="1" applyAlignment="1">
      <alignment horizontal="center" vertical="center" textRotation="90"/>
    </xf>
    <xf numFmtId="0" fontId="0" fillId="2" borderId="5" xfId="0" applyFill="1" applyBorder="1" applyAlignment="1">
      <alignment horizontal="left" vertical="top" wrapText="1" indent="1"/>
    </xf>
    <xf numFmtId="0" fontId="0" fillId="2" borderId="7" xfId="0" applyFill="1" applyBorder="1" applyAlignment="1">
      <alignment horizontal="left" vertical="top" wrapText="1" indent="1"/>
    </xf>
    <xf numFmtId="0" fontId="0" fillId="2" borderId="6" xfId="0" applyFill="1" applyBorder="1" applyAlignment="1">
      <alignment horizontal="left" vertical="top" wrapText="1" indent="1"/>
    </xf>
    <xf numFmtId="0" fontId="0" fillId="2" borderId="5" xfId="0" applyFill="1" applyBorder="1" applyAlignment="1">
      <alignment horizontal="left" wrapText="1" indent="1"/>
    </xf>
    <xf numFmtId="0" fontId="0" fillId="2" borderId="7" xfId="0" applyFill="1" applyBorder="1" applyAlignment="1">
      <alignment horizontal="left" wrapText="1" indent="1"/>
    </xf>
    <xf numFmtId="0" fontId="0" fillId="2" borderId="6" xfId="0" applyFill="1" applyBorder="1" applyAlignment="1">
      <alignment horizontal="left" wrapText="1" indent="1"/>
    </xf>
    <xf numFmtId="0" fontId="0" fillId="2" borderId="24" xfId="0" applyFill="1" applyBorder="1" applyAlignment="1">
      <alignment horizontal="left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left" wrapText="1" indent="1"/>
    </xf>
    <xf numFmtId="0" fontId="0" fillId="2" borderId="9" xfId="0" applyFill="1" applyBorder="1" applyAlignment="1">
      <alignment horizontal="left" wrapText="1" indent="1"/>
    </xf>
    <xf numFmtId="0" fontId="0" fillId="2" borderId="11" xfId="0" applyFill="1" applyBorder="1" applyAlignment="1">
      <alignment horizontal="left" wrapText="1" indent="1"/>
    </xf>
    <xf numFmtId="0" fontId="0" fillId="2" borderId="12" xfId="0" applyFill="1" applyBorder="1" applyAlignment="1">
      <alignment horizontal="left" wrapText="1" indent="1"/>
    </xf>
    <xf numFmtId="0" fontId="0" fillId="2" borderId="8" xfId="0" applyFill="1" applyBorder="1" applyAlignment="1">
      <alignment horizontal="left" wrapText="1" indent="1"/>
    </xf>
    <xf numFmtId="0" fontId="0" fillId="2" borderId="13" xfId="0" applyFill="1" applyBorder="1" applyAlignment="1">
      <alignment horizontal="left" wrapText="1" indent="1"/>
    </xf>
    <xf numFmtId="0" fontId="0" fillId="2" borderId="10" xfId="0" applyFill="1" applyBorder="1" applyAlignment="1">
      <alignment horizontal="left" vertical="top" wrapText="1" indent="1"/>
    </xf>
    <xf numFmtId="0" fontId="0" fillId="2" borderId="9" xfId="0" applyFill="1" applyBorder="1" applyAlignment="1">
      <alignment horizontal="left" vertical="top" wrapText="1" indent="1"/>
    </xf>
    <xf numFmtId="0" fontId="0" fillId="2" borderId="11" xfId="0" applyFill="1" applyBorder="1" applyAlignment="1">
      <alignment horizontal="left" vertical="top" wrapText="1" indent="1"/>
    </xf>
    <xf numFmtId="0" fontId="0" fillId="2" borderId="12" xfId="0" applyFill="1" applyBorder="1" applyAlignment="1">
      <alignment horizontal="left" vertical="top" wrapText="1" indent="1"/>
    </xf>
    <xf numFmtId="0" fontId="0" fillId="2" borderId="8" xfId="0" applyFill="1" applyBorder="1" applyAlignment="1">
      <alignment horizontal="left" vertical="top" wrapText="1" indent="1"/>
    </xf>
    <xf numFmtId="0" fontId="0" fillId="2" borderId="13" xfId="0" applyFill="1" applyBorder="1" applyAlignment="1">
      <alignment horizontal="left" vertical="top" wrapText="1" indent="1"/>
    </xf>
    <xf numFmtId="0" fontId="0" fillId="11" borderId="2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4" fillId="3" borderId="33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0" fillId="2" borderId="0" xfId="0" applyFill="1" applyAlignment="1">
      <alignment horizontal="left" vertical="top" wrapText="1"/>
    </xf>
    <xf numFmtId="0" fontId="10" fillId="2" borderId="0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0" xfId="0" applyFill="1" applyAlignment="1"/>
    <xf numFmtId="0" fontId="10" fillId="2" borderId="0" xfId="0" applyFont="1" applyFill="1" applyAlignment="1">
      <alignment horizontal="right"/>
    </xf>
    <xf numFmtId="2" fontId="7" fillId="4" borderId="0" xfId="1" applyNumberFormat="1" applyFont="1" applyFill="1" applyAlignment="1">
      <alignment horizontal="center"/>
    </xf>
    <xf numFmtId="1" fontId="7" fillId="4" borderId="0" xfId="1" applyNumberFormat="1" applyFont="1" applyFill="1" applyAlignment="1">
      <alignment horizontal="center"/>
    </xf>
    <xf numFmtId="168" fontId="7" fillId="4" borderId="0" xfId="1" applyNumberFormat="1" applyFont="1" applyFill="1" applyAlignment="1">
      <alignment horizontal="center"/>
    </xf>
  </cellXfs>
  <cellStyles count="3">
    <cellStyle name="Moneda" xfId="1" builtinId="4"/>
    <cellStyle name="Normal" xfId="0" builtinId="0"/>
    <cellStyle name="Porcentaje" xfId="2" builtinId="5"/>
  </cellStyles>
  <dxfs count="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'Pto eq gráfica'!$C$26</c:f>
              <c:strCache>
                <c:ptCount val="1"/>
                <c:pt idx="0">
                  <c:v>costo total</c:v>
                </c:pt>
              </c:strCache>
            </c:strRef>
          </c:tx>
          <c:spPr>
            <a:ln w="38100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'Pto eq gráfica'!$B$27:$B$183</c:f>
              <c:numCache>
                <c:formatCode>General</c:formatCode>
                <c:ptCount val="15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</c:numCache>
            </c:numRef>
          </c:xVal>
          <c:yVal>
            <c:numRef>
              <c:f>'Pto eq gráfica'!$C$27:$C$183</c:f>
              <c:numCache>
                <c:formatCode>General</c:formatCode>
                <c:ptCount val="157"/>
                <c:pt idx="0">
                  <c:v>20000</c:v>
                </c:pt>
                <c:pt idx="1">
                  <c:v>20170</c:v>
                </c:pt>
                <c:pt idx="2">
                  <c:v>20340</c:v>
                </c:pt>
                <c:pt idx="3">
                  <c:v>20510</c:v>
                </c:pt>
                <c:pt idx="4">
                  <c:v>20680</c:v>
                </c:pt>
                <c:pt idx="5">
                  <c:v>20850</c:v>
                </c:pt>
                <c:pt idx="6">
                  <c:v>21020</c:v>
                </c:pt>
                <c:pt idx="7">
                  <c:v>21190</c:v>
                </c:pt>
                <c:pt idx="8">
                  <c:v>21360</c:v>
                </c:pt>
                <c:pt idx="9">
                  <c:v>21530</c:v>
                </c:pt>
                <c:pt idx="10">
                  <c:v>21700</c:v>
                </c:pt>
                <c:pt idx="11">
                  <c:v>21870</c:v>
                </c:pt>
                <c:pt idx="12">
                  <c:v>22040</c:v>
                </c:pt>
                <c:pt idx="13">
                  <c:v>22210</c:v>
                </c:pt>
                <c:pt idx="14">
                  <c:v>22380</c:v>
                </c:pt>
                <c:pt idx="15">
                  <c:v>22550</c:v>
                </c:pt>
                <c:pt idx="16">
                  <c:v>22720</c:v>
                </c:pt>
                <c:pt idx="17">
                  <c:v>22890</c:v>
                </c:pt>
                <c:pt idx="18">
                  <c:v>23060</c:v>
                </c:pt>
                <c:pt idx="19">
                  <c:v>23230</c:v>
                </c:pt>
                <c:pt idx="20">
                  <c:v>23400</c:v>
                </c:pt>
                <c:pt idx="21">
                  <c:v>23570</c:v>
                </c:pt>
                <c:pt idx="22">
                  <c:v>23740</c:v>
                </c:pt>
                <c:pt idx="23">
                  <c:v>23910</c:v>
                </c:pt>
                <c:pt idx="24">
                  <c:v>24080</c:v>
                </c:pt>
                <c:pt idx="25">
                  <c:v>24250</c:v>
                </c:pt>
                <c:pt idx="26">
                  <c:v>24420</c:v>
                </c:pt>
                <c:pt idx="27">
                  <c:v>24590</c:v>
                </c:pt>
                <c:pt idx="28">
                  <c:v>24760</c:v>
                </c:pt>
                <c:pt idx="29">
                  <c:v>24930</c:v>
                </c:pt>
                <c:pt idx="30">
                  <c:v>25100</c:v>
                </c:pt>
                <c:pt idx="31">
                  <c:v>25270</c:v>
                </c:pt>
                <c:pt idx="32">
                  <c:v>25440</c:v>
                </c:pt>
                <c:pt idx="33">
                  <c:v>25610</c:v>
                </c:pt>
                <c:pt idx="34">
                  <c:v>25780</c:v>
                </c:pt>
                <c:pt idx="35">
                  <c:v>25950</c:v>
                </c:pt>
                <c:pt idx="36">
                  <c:v>26120</c:v>
                </c:pt>
                <c:pt idx="37">
                  <c:v>26290</c:v>
                </c:pt>
                <c:pt idx="38">
                  <c:v>26460</c:v>
                </c:pt>
                <c:pt idx="39">
                  <c:v>26630</c:v>
                </c:pt>
                <c:pt idx="40">
                  <c:v>26800</c:v>
                </c:pt>
                <c:pt idx="41">
                  <c:v>26970</c:v>
                </c:pt>
                <c:pt idx="42">
                  <c:v>27140</c:v>
                </c:pt>
                <c:pt idx="43">
                  <c:v>27310</c:v>
                </c:pt>
                <c:pt idx="44">
                  <c:v>27480</c:v>
                </c:pt>
                <c:pt idx="45">
                  <c:v>27650</c:v>
                </c:pt>
                <c:pt idx="46">
                  <c:v>27820</c:v>
                </c:pt>
                <c:pt idx="47">
                  <c:v>27990</c:v>
                </c:pt>
                <c:pt idx="48">
                  <c:v>28160</c:v>
                </c:pt>
                <c:pt idx="49">
                  <c:v>28330</c:v>
                </c:pt>
                <c:pt idx="50">
                  <c:v>28500</c:v>
                </c:pt>
                <c:pt idx="51">
                  <c:v>28670</c:v>
                </c:pt>
                <c:pt idx="52">
                  <c:v>28840</c:v>
                </c:pt>
                <c:pt idx="53">
                  <c:v>29010</c:v>
                </c:pt>
                <c:pt idx="54">
                  <c:v>29180</c:v>
                </c:pt>
                <c:pt idx="55">
                  <c:v>29350</c:v>
                </c:pt>
                <c:pt idx="56">
                  <c:v>29520</c:v>
                </c:pt>
                <c:pt idx="57">
                  <c:v>29690</c:v>
                </c:pt>
                <c:pt idx="58">
                  <c:v>29860</c:v>
                </c:pt>
                <c:pt idx="59">
                  <c:v>30030</c:v>
                </c:pt>
                <c:pt idx="60">
                  <c:v>30200</c:v>
                </c:pt>
                <c:pt idx="61">
                  <c:v>30370</c:v>
                </c:pt>
                <c:pt idx="62">
                  <c:v>30540</c:v>
                </c:pt>
                <c:pt idx="63">
                  <c:v>30710</c:v>
                </c:pt>
                <c:pt idx="64">
                  <c:v>30880</c:v>
                </c:pt>
                <c:pt idx="65">
                  <c:v>31050</c:v>
                </c:pt>
                <c:pt idx="66">
                  <c:v>31220</c:v>
                </c:pt>
                <c:pt idx="67">
                  <c:v>31390</c:v>
                </c:pt>
                <c:pt idx="68">
                  <c:v>31560</c:v>
                </c:pt>
                <c:pt idx="69">
                  <c:v>31730</c:v>
                </c:pt>
                <c:pt idx="70">
                  <c:v>31900</c:v>
                </c:pt>
                <c:pt idx="71">
                  <c:v>32070</c:v>
                </c:pt>
                <c:pt idx="72">
                  <c:v>32240</c:v>
                </c:pt>
                <c:pt idx="73">
                  <c:v>32410</c:v>
                </c:pt>
                <c:pt idx="74">
                  <c:v>32580</c:v>
                </c:pt>
                <c:pt idx="75">
                  <c:v>32750</c:v>
                </c:pt>
                <c:pt idx="76">
                  <c:v>32920</c:v>
                </c:pt>
                <c:pt idx="77">
                  <c:v>33090</c:v>
                </c:pt>
                <c:pt idx="78">
                  <c:v>33260</c:v>
                </c:pt>
                <c:pt idx="79">
                  <c:v>33430</c:v>
                </c:pt>
                <c:pt idx="80">
                  <c:v>33600</c:v>
                </c:pt>
                <c:pt idx="81">
                  <c:v>33770</c:v>
                </c:pt>
                <c:pt idx="82">
                  <c:v>33940</c:v>
                </c:pt>
                <c:pt idx="83">
                  <c:v>34110</c:v>
                </c:pt>
                <c:pt idx="84">
                  <c:v>34280</c:v>
                </c:pt>
                <c:pt idx="85">
                  <c:v>34450</c:v>
                </c:pt>
                <c:pt idx="86">
                  <c:v>34620</c:v>
                </c:pt>
                <c:pt idx="87">
                  <c:v>34790</c:v>
                </c:pt>
                <c:pt idx="88">
                  <c:v>34960</c:v>
                </c:pt>
                <c:pt idx="89">
                  <c:v>35130</c:v>
                </c:pt>
                <c:pt idx="90">
                  <c:v>35300</c:v>
                </c:pt>
                <c:pt idx="91">
                  <c:v>35470</c:v>
                </c:pt>
                <c:pt idx="92">
                  <c:v>35640</c:v>
                </c:pt>
                <c:pt idx="93">
                  <c:v>35810</c:v>
                </c:pt>
                <c:pt idx="94">
                  <c:v>35980</c:v>
                </c:pt>
                <c:pt idx="95">
                  <c:v>36150</c:v>
                </c:pt>
                <c:pt idx="96">
                  <c:v>36320</c:v>
                </c:pt>
                <c:pt idx="97">
                  <c:v>36490</c:v>
                </c:pt>
                <c:pt idx="98">
                  <c:v>36660</c:v>
                </c:pt>
                <c:pt idx="99">
                  <c:v>36830</c:v>
                </c:pt>
                <c:pt idx="100">
                  <c:v>37000</c:v>
                </c:pt>
                <c:pt idx="101">
                  <c:v>37170</c:v>
                </c:pt>
                <c:pt idx="102">
                  <c:v>37340</c:v>
                </c:pt>
                <c:pt idx="103">
                  <c:v>37510</c:v>
                </c:pt>
                <c:pt idx="104">
                  <c:v>37680</c:v>
                </c:pt>
                <c:pt idx="105">
                  <c:v>37850</c:v>
                </c:pt>
                <c:pt idx="106">
                  <c:v>38020</c:v>
                </c:pt>
                <c:pt idx="107">
                  <c:v>38190</c:v>
                </c:pt>
                <c:pt idx="108">
                  <c:v>38360</c:v>
                </c:pt>
                <c:pt idx="109">
                  <c:v>38530</c:v>
                </c:pt>
                <c:pt idx="110">
                  <c:v>38700</c:v>
                </c:pt>
                <c:pt idx="111">
                  <c:v>38870</c:v>
                </c:pt>
                <c:pt idx="112">
                  <c:v>39040</c:v>
                </c:pt>
                <c:pt idx="113">
                  <c:v>39210</c:v>
                </c:pt>
                <c:pt idx="114">
                  <c:v>39380</c:v>
                </c:pt>
                <c:pt idx="115">
                  <c:v>39550</c:v>
                </c:pt>
                <c:pt idx="116">
                  <c:v>39720</c:v>
                </c:pt>
                <c:pt idx="117">
                  <c:v>39890</c:v>
                </c:pt>
                <c:pt idx="118">
                  <c:v>40060</c:v>
                </c:pt>
                <c:pt idx="119">
                  <c:v>40230</c:v>
                </c:pt>
                <c:pt idx="120">
                  <c:v>40400</c:v>
                </c:pt>
                <c:pt idx="121">
                  <c:v>40570</c:v>
                </c:pt>
                <c:pt idx="122">
                  <c:v>40740</c:v>
                </c:pt>
                <c:pt idx="123">
                  <c:v>40910</c:v>
                </c:pt>
                <c:pt idx="124">
                  <c:v>41080</c:v>
                </c:pt>
                <c:pt idx="125">
                  <c:v>41250</c:v>
                </c:pt>
                <c:pt idx="126">
                  <c:v>41420</c:v>
                </c:pt>
                <c:pt idx="127">
                  <c:v>41590</c:v>
                </c:pt>
                <c:pt idx="128">
                  <c:v>41760</c:v>
                </c:pt>
                <c:pt idx="129">
                  <c:v>41930</c:v>
                </c:pt>
                <c:pt idx="130">
                  <c:v>42100</c:v>
                </c:pt>
                <c:pt idx="131">
                  <c:v>42270</c:v>
                </c:pt>
                <c:pt idx="132">
                  <c:v>42440</c:v>
                </c:pt>
                <c:pt idx="133">
                  <c:v>42610</c:v>
                </c:pt>
                <c:pt idx="134">
                  <c:v>42780</c:v>
                </c:pt>
                <c:pt idx="135">
                  <c:v>42950</c:v>
                </c:pt>
                <c:pt idx="136">
                  <c:v>43120</c:v>
                </c:pt>
                <c:pt idx="137">
                  <c:v>43290</c:v>
                </c:pt>
                <c:pt idx="138">
                  <c:v>43460</c:v>
                </c:pt>
                <c:pt idx="139">
                  <c:v>43630</c:v>
                </c:pt>
                <c:pt idx="140">
                  <c:v>43800</c:v>
                </c:pt>
                <c:pt idx="141">
                  <c:v>43970</c:v>
                </c:pt>
                <c:pt idx="142">
                  <c:v>44140</c:v>
                </c:pt>
                <c:pt idx="143">
                  <c:v>44310</c:v>
                </c:pt>
                <c:pt idx="144">
                  <c:v>44480</c:v>
                </c:pt>
                <c:pt idx="145">
                  <c:v>44650</c:v>
                </c:pt>
                <c:pt idx="146">
                  <c:v>44820</c:v>
                </c:pt>
                <c:pt idx="147">
                  <c:v>44990</c:v>
                </c:pt>
                <c:pt idx="148">
                  <c:v>45160</c:v>
                </c:pt>
                <c:pt idx="149">
                  <c:v>45330</c:v>
                </c:pt>
                <c:pt idx="150">
                  <c:v>45500</c:v>
                </c:pt>
                <c:pt idx="151">
                  <c:v>45670</c:v>
                </c:pt>
                <c:pt idx="152">
                  <c:v>45840</c:v>
                </c:pt>
                <c:pt idx="153">
                  <c:v>46010</c:v>
                </c:pt>
                <c:pt idx="154">
                  <c:v>46180</c:v>
                </c:pt>
                <c:pt idx="155">
                  <c:v>46350</c:v>
                </c:pt>
                <c:pt idx="156">
                  <c:v>46520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4F-4DEC-A97C-581D521AA23E}"/>
            </c:ext>
          </c:extLst>
        </c:ser>
        <c:ser>
          <c:idx val="1"/>
          <c:order val="1"/>
          <c:tx>
            <c:strRef>
              <c:f>'Pto eq gráfica'!$D$26</c:f>
              <c:strCache>
                <c:ptCount val="1"/>
                <c:pt idx="0">
                  <c:v>IngresoxVentas</c:v>
                </c:pt>
              </c:strCache>
            </c:strRef>
          </c:tx>
          <c:spPr>
            <a:ln w="38100" cap="rnd">
              <a:solidFill>
                <a:schemeClr val="bg1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'Pto eq gráfica'!$B$27:$B$183</c:f>
              <c:numCache>
                <c:formatCode>General</c:formatCode>
                <c:ptCount val="15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</c:numCache>
            </c:numRef>
          </c:xVal>
          <c:yVal>
            <c:numRef>
              <c:f>'Pto eq gráfica'!$D$27:$D$183</c:f>
              <c:numCache>
                <c:formatCode>General</c:formatCode>
                <c:ptCount val="157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  <c:pt idx="5">
                  <c:v>2000</c:v>
                </c:pt>
                <c:pt idx="6">
                  <c:v>2400</c:v>
                </c:pt>
                <c:pt idx="7">
                  <c:v>2800</c:v>
                </c:pt>
                <c:pt idx="8">
                  <c:v>3200</c:v>
                </c:pt>
                <c:pt idx="9">
                  <c:v>3600</c:v>
                </c:pt>
                <c:pt idx="10">
                  <c:v>4000</c:v>
                </c:pt>
                <c:pt idx="11">
                  <c:v>4400</c:v>
                </c:pt>
                <c:pt idx="12">
                  <c:v>4800</c:v>
                </c:pt>
                <c:pt idx="13">
                  <c:v>5200</c:v>
                </c:pt>
                <c:pt idx="14">
                  <c:v>5600</c:v>
                </c:pt>
                <c:pt idx="15">
                  <c:v>6000</c:v>
                </c:pt>
                <c:pt idx="16">
                  <c:v>6400</c:v>
                </c:pt>
                <c:pt idx="17">
                  <c:v>6800</c:v>
                </c:pt>
                <c:pt idx="18">
                  <c:v>7200</c:v>
                </c:pt>
                <c:pt idx="19">
                  <c:v>7600</c:v>
                </c:pt>
                <c:pt idx="20">
                  <c:v>8000</c:v>
                </c:pt>
                <c:pt idx="21">
                  <c:v>8400</c:v>
                </c:pt>
                <c:pt idx="22">
                  <c:v>8800</c:v>
                </c:pt>
                <c:pt idx="23">
                  <c:v>9200</c:v>
                </c:pt>
                <c:pt idx="24">
                  <c:v>9600</c:v>
                </c:pt>
                <c:pt idx="25">
                  <c:v>10000</c:v>
                </c:pt>
                <c:pt idx="26">
                  <c:v>10400</c:v>
                </c:pt>
                <c:pt idx="27">
                  <c:v>10800</c:v>
                </c:pt>
                <c:pt idx="28">
                  <c:v>11200</c:v>
                </c:pt>
                <c:pt idx="29">
                  <c:v>11600</c:v>
                </c:pt>
                <c:pt idx="30">
                  <c:v>12000</c:v>
                </c:pt>
                <c:pt idx="31">
                  <c:v>12400</c:v>
                </c:pt>
                <c:pt idx="32">
                  <c:v>12800</c:v>
                </c:pt>
                <c:pt idx="33">
                  <c:v>13200</c:v>
                </c:pt>
                <c:pt idx="34">
                  <c:v>13600</c:v>
                </c:pt>
                <c:pt idx="35">
                  <c:v>14000</c:v>
                </c:pt>
                <c:pt idx="36">
                  <c:v>14400</c:v>
                </c:pt>
                <c:pt idx="37">
                  <c:v>14800</c:v>
                </c:pt>
                <c:pt idx="38">
                  <c:v>15200</c:v>
                </c:pt>
                <c:pt idx="39">
                  <c:v>15600</c:v>
                </c:pt>
                <c:pt idx="40">
                  <c:v>16000</c:v>
                </c:pt>
                <c:pt idx="41">
                  <c:v>16400</c:v>
                </c:pt>
                <c:pt idx="42">
                  <c:v>16800</c:v>
                </c:pt>
                <c:pt idx="43">
                  <c:v>17200</c:v>
                </c:pt>
                <c:pt idx="44">
                  <c:v>17600</c:v>
                </c:pt>
                <c:pt idx="45">
                  <c:v>18000</c:v>
                </c:pt>
                <c:pt idx="46">
                  <c:v>18400</c:v>
                </c:pt>
                <c:pt idx="47">
                  <c:v>18800</c:v>
                </c:pt>
                <c:pt idx="48">
                  <c:v>19200</c:v>
                </c:pt>
                <c:pt idx="49">
                  <c:v>19600</c:v>
                </c:pt>
                <c:pt idx="50">
                  <c:v>20000</c:v>
                </c:pt>
                <c:pt idx="51">
                  <c:v>20400</c:v>
                </c:pt>
                <c:pt idx="52">
                  <c:v>20800</c:v>
                </c:pt>
                <c:pt idx="53">
                  <c:v>21200</c:v>
                </c:pt>
                <c:pt idx="54">
                  <c:v>21600</c:v>
                </c:pt>
                <c:pt idx="55">
                  <c:v>22000</c:v>
                </c:pt>
                <c:pt idx="56">
                  <c:v>22400</c:v>
                </c:pt>
                <c:pt idx="57">
                  <c:v>22800</c:v>
                </c:pt>
                <c:pt idx="58">
                  <c:v>23200</c:v>
                </c:pt>
                <c:pt idx="59">
                  <c:v>23600</c:v>
                </c:pt>
                <c:pt idx="60">
                  <c:v>24000</c:v>
                </c:pt>
                <c:pt idx="61">
                  <c:v>24400</c:v>
                </c:pt>
                <c:pt idx="62">
                  <c:v>24800</c:v>
                </c:pt>
                <c:pt idx="63">
                  <c:v>25200</c:v>
                </c:pt>
                <c:pt idx="64">
                  <c:v>25600</c:v>
                </c:pt>
                <c:pt idx="65">
                  <c:v>26000</c:v>
                </c:pt>
                <c:pt idx="66">
                  <c:v>26400</c:v>
                </c:pt>
                <c:pt idx="67">
                  <c:v>26800</c:v>
                </c:pt>
                <c:pt idx="68">
                  <c:v>27200</c:v>
                </c:pt>
                <c:pt idx="69">
                  <c:v>27600</c:v>
                </c:pt>
                <c:pt idx="70">
                  <c:v>28000</c:v>
                </c:pt>
                <c:pt idx="71">
                  <c:v>28400</c:v>
                </c:pt>
                <c:pt idx="72">
                  <c:v>28800</c:v>
                </c:pt>
                <c:pt idx="73">
                  <c:v>29200</c:v>
                </c:pt>
                <c:pt idx="74">
                  <c:v>29600</c:v>
                </c:pt>
                <c:pt idx="75">
                  <c:v>30000</c:v>
                </c:pt>
                <c:pt idx="76">
                  <c:v>30400</c:v>
                </c:pt>
                <c:pt idx="77">
                  <c:v>30800</c:v>
                </c:pt>
                <c:pt idx="78">
                  <c:v>31200</c:v>
                </c:pt>
                <c:pt idx="79">
                  <c:v>31600</c:v>
                </c:pt>
                <c:pt idx="80">
                  <c:v>32000</c:v>
                </c:pt>
                <c:pt idx="81">
                  <c:v>32400</c:v>
                </c:pt>
                <c:pt idx="82">
                  <c:v>32800</c:v>
                </c:pt>
                <c:pt idx="83">
                  <c:v>33200</c:v>
                </c:pt>
                <c:pt idx="84">
                  <c:v>33600</c:v>
                </c:pt>
                <c:pt idx="85">
                  <c:v>34000</c:v>
                </c:pt>
                <c:pt idx="86">
                  <c:v>34400</c:v>
                </c:pt>
                <c:pt idx="87">
                  <c:v>34800</c:v>
                </c:pt>
                <c:pt idx="88">
                  <c:v>35200</c:v>
                </c:pt>
                <c:pt idx="89">
                  <c:v>35600</c:v>
                </c:pt>
                <c:pt idx="90">
                  <c:v>36000</c:v>
                </c:pt>
                <c:pt idx="91">
                  <c:v>36400</c:v>
                </c:pt>
                <c:pt idx="92">
                  <c:v>36800</c:v>
                </c:pt>
                <c:pt idx="93">
                  <c:v>37200</c:v>
                </c:pt>
                <c:pt idx="94">
                  <c:v>37600</c:v>
                </c:pt>
                <c:pt idx="95">
                  <c:v>38000</c:v>
                </c:pt>
                <c:pt idx="96">
                  <c:v>38400</c:v>
                </c:pt>
                <c:pt idx="97">
                  <c:v>38800</c:v>
                </c:pt>
                <c:pt idx="98">
                  <c:v>39200</c:v>
                </c:pt>
                <c:pt idx="99">
                  <c:v>39600</c:v>
                </c:pt>
                <c:pt idx="100">
                  <c:v>40000</c:v>
                </c:pt>
                <c:pt idx="101">
                  <c:v>40400</c:v>
                </c:pt>
                <c:pt idx="102">
                  <c:v>40800</c:v>
                </c:pt>
                <c:pt idx="103">
                  <c:v>41200</c:v>
                </c:pt>
                <c:pt idx="104">
                  <c:v>41600</c:v>
                </c:pt>
                <c:pt idx="105">
                  <c:v>42000</c:v>
                </c:pt>
                <c:pt idx="106">
                  <c:v>42400</c:v>
                </c:pt>
                <c:pt idx="107">
                  <c:v>42800</c:v>
                </c:pt>
                <c:pt idx="108">
                  <c:v>43200</c:v>
                </c:pt>
                <c:pt idx="109">
                  <c:v>43600</c:v>
                </c:pt>
                <c:pt idx="110">
                  <c:v>44000</c:v>
                </c:pt>
                <c:pt idx="111">
                  <c:v>44400</c:v>
                </c:pt>
                <c:pt idx="112">
                  <c:v>44800</c:v>
                </c:pt>
                <c:pt idx="113">
                  <c:v>45200</c:v>
                </c:pt>
                <c:pt idx="114">
                  <c:v>45600</c:v>
                </c:pt>
                <c:pt idx="115">
                  <c:v>46000</c:v>
                </c:pt>
                <c:pt idx="116">
                  <c:v>46400</c:v>
                </c:pt>
                <c:pt idx="117">
                  <c:v>46800</c:v>
                </c:pt>
                <c:pt idx="118">
                  <c:v>47200</c:v>
                </c:pt>
                <c:pt idx="119">
                  <c:v>47600</c:v>
                </c:pt>
                <c:pt idx="120">
                  <c:v>48000</c:v>
                </c:pt>
                <c:pt idx="121">
                  <c:v>48400</c:v>
                </c:pt>
                <c:pt idx="122">
                  <c:v>48800</c:v>
                </c:pt>
                <c:pt idx="123">
                  <c:v>49200</c:v>
                </c:pt>
                <c:pt idx="124">
                  <c:v>49600</c:v>
                </c:pt>
                <c:pt idx="125">
                  <c:v>50000</c:v>
                </c:pt>
                <c:pt idx="126">
                  <c:v>50400</c:v>
                </c:pt>
                <c:pt idx="127">
                  <c:v>50800</c:v>
                </c:pt>
                <c:pt idx="128">
                  <c:v>51200</c:v>
                </c:pt>
                <c:pt idx="129">
                  <c:v>51600</c:v>
                </c:pt>
                <c:pt idx="130">
                  <c:v>52000</c:v>
                </c:pt>
                <c:pt idx="131">
                  <c:v>52400</c:v>
                </c:pt>
                <c:pt idx="132">
                  <c:v>52800</c:v>
                </c:pt>
                <c:pt idx="133">
                  <c:v>53200</c:v>
                </c:pt>
                <c:pt idx="134">
                  <c:v>53600</c:v>
                </c:pt>
                <c:pt idx="135">
                  <c:v>54000</c:v>
                </c:pt>
                <c:pt idx="136">
                  <c:v>54400</c:v>
                </c:pt>
                <c:pt idx="137">
                  <c:v>54800</c:v>
                </c:pt>
                <c:pt idx="138">
                  <c:v>55200</c:v>
                </c:pt>
                <c:pt idx="139">
                  <c:v>55600</c:v>
                </c:pt>
                <c:pt idx="140">
                  <c:v>56000</c:v>
                </c:pt>
                <c:pt idx="141">
                  <c:v>56400</c:v>
                </c:pt>
                <c:pt idx="142">
                  <c:v>56800</c:v>
                </c:pt>
                <c:pt idx="143">
                  <c:v>57200</c:v>
                </c:pt>
                <c:pt idx="144">
                  <c:v>57600</c:v>
                </c:pt>
                <c:pt idx="145">
                  <c:v>58000</c:v>
                </c:pt>
                <c:pt idx="146">
                  <c:v>58400</c:v>
                </c:pt>
                <c:pt idx="147">
                  <c:v>58800</c:v>
                </c:pt>
                <c:pt idx="148">
                  <c:v>59200</c:v>
                </c:pt>
                <c:pt idx="149">
                  <c:v>59600</c:v>
                </c:pt>
                <c:pt idx="150">
                  <c:v>60000</c:v>
                </c:pt>
                <c:pt idx="151">
                  <c:v>60400</c:v>
                </c:pt>
                <c:pt idx="152">
                  <c:v>60800</c:v>
                </c:pt>
                <c:pt idx="153">
                  <c:v>61200</c:v>
                </c:pt>
                <c:pt idx="154">
                  <c:v>61600</c:v>
                </c:pt>
                <c:pt idx="155">
                  <c:v>62000</c:v>
                </c:pt>
                <c:pt idx="156">
                  <c:v>62400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4F-4DEC-A97C-581D521AA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17850256"/>
        <c:axId val="-418461472"/>
      </c:scatterChart>
      <c:valAx>
        <c:axId val="-41785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-418461472"/>
        <c:crosses val="autoZero"/>
        <c:crossBetween val="midCat"/>
      </c:valAx>
      <c:valAx>
        <c:axId val="-41846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-417850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438150</xdr:colOff>
      <xdr:row>0</xdr:row>
      <xdr:rowOff>85725</xdr:rowOff>
    </xdr:from>
    <xdr:ext cx="542925" cy="847725"/>
    <xdr:pic>
      <xdr:nvPicPr>
        <xdr:cNvPr id="4" name="image1.png">
          <a:extLst>
            <a:ext uri="{FF2B5EF4-FFF2-40B4-BE49-F238E27FC236}">
              <a16:creationId xmlns:a16="http://schemas.microsoft.com/office/drawing/2014/main" id="{8FCAEAB1-E5DB-4F4E-A093-C888CBF70D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81350" y="85725"/>
          <a:ext cx="542925" cy="8477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571501</xdr:colOff>
      <xdr:row>0</xdr:row>
      <xdr:rowOff>0</xdr:rowOff>
    </xdr:from>
    <xdr:to>
      <xdr:col>20</xdr:col>
      <xdr:colOff>47625</xdr:colOff>
      <xdr:row>47</xdr:row>
      <xdr:rowOff>9524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9CA572F-97C3-4D34-BE40-82143FE1C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6701" y="0"/>
          <a:ext cx="6981824" cy="6981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2</xdr:row>
      <xdr:rowOff>123825</xdr:rowOff>
    </xdr:from>
    <xdr:to>
      <xdr:col>11</xdr:col>
      <xdr:colOff>247650</xdr:colOff>
      <xdr:row>19</xdr:row>
      <xdr:rowOff>38100</xdr:rowOff>
    </xdr:to>
    <xdr:sp macro="" textlink="">
      <xdr:nvSpPr>
        <xdr:cNvPr id="2" name="Cerrar llave 1">
          <a:extLst>
            <a:ext uri="{FF2B5EF4-FFF2-40B4-BE49-F238E27FC236}">
              <a16:creationId xmlns:a16="http://schemas.microsoft.com/office/drawing/2014/main" id="{96F34BD0-1168-47CB-8461-BD8622489D48}"/>
            </a:ext>
          </a:extLst>
        </xdr:cNvPr>
        <xdr:cNvSpPr/>
      </xdr:nvSpPr>
      <xdr:spPr>
        <a:xfrm>
          <a:off x="4552950" y="504825"/>
          <a:ext cx="114300" cy="22193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11</xdr:col>
      <xdr:colOff>133350</xdr:colOff>
      <xdr:row>20</xdr:row>
      <xdr:rowOff>123825</xdr:rowOff>
    </xdr:from>
    <xdr:to>
      <xdr:col>11</xdr:col>
      <xdr:colOff>238125</xdr:colOff>
      <xdr:row>37</xdr:row>
      <xdr:rowOff>47625</xdr:rowOff>
    </xdr:to>
    <xdr:sp macro="" textlink="">
      <xdr:nvSpPr>
        <xdr:cNvPr id="3" name="Cerrar llave 2">
          <a:extLst>
            <a:ext uri="{FF2B5EF4-FFF2-40B4-BE49-F238E27FC236}">
              <a16:creationId xmlns:a16="http://schemas.microsoft.com/office/drawing/2014/main" id="{3FBABE36-A2D4-4D74-9CF2-8AAD188AC60A}"/>
            </a:ext>
          </a:extLst>
        </xdr:cNvPr>
        <xdr:cNvSpPr/>
      </xdr:nvSpPr>
      <xdr:spPr>
        <a:xfrm>
          <a:off x="4552950" y="3000375"/>
          <a:ext cx="104775" cy="22193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5</xdr:row>
      <xdr:rowOff>114300</xdr:rowOff>
    </xdr:from>
    <xdr:to>
      <xdr:col>12</xdr:col>
      <xdr:colOff>304800</xdr:colOff>
      <xdr:row>5</xdr:row>
      <xdr:rowOff>114300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C50CA83E-173E-4B0C-AB0A-A9C673EF7875}"/>
            </a:ext>
          </a:extLst>
        </xdr:cNvPr>
        <xdr:cNvCxnSpPr/>
      </xdr:nvCxnSpPr>
      <xdr:spPr>
        <a:xfrm>
          <a:off x="4191000" y="1066800"/>
          <a:ext cx="57245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13</xdr:row>
      <xdr:rowOff>142875</xdr:rowOff>
    </xdr:from>
    <xdr:to>
      <xdr:col>12</xdr:col>
      <xdr:colOff>285750</xdr:colOff>
      <xdr:row>13</xdr:row>
      <xdr:rowOff>142875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3E76C3FE-58B7-4D1E-9081-1D53AA1B1280}"/>
            </a:ext>
          </a:extLst>
        </xdr:cNvPr>
        <xdr:cNvCxnSpPr/>
      </xdr:nvCxnSpPr>
      <xdr:spPr>
        <a:xfrm>
          <a:off x="4171950" y="2619375"/>
          <a:ext cx="57245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160421</xdr:colOff>
      <xdr:row>7</xdr:row>
      <xdr:rowOff>100263</xdr:rowOff>
    </xdr:from>
    <xdr:to>
      <xdr:col>3</xdr:col>
      <xdr:colOff>686803</xdr:colOff>
      <xdr:row>7</xdr:row>
      <xdr:rowOff>100263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4BBB8753-48E1-4E1F-9360-DCEBAA52CA3B}"/>
            </a:ext>
          </a:extLst>
        </xdr:cNvPr>
        <xdr:cNvCxnSpPr/>
      </xdr:nvCxnSpPr>
      <xdr:spPr>
        <a:xfrm>
          <a:off x="7237496" y="1052763"/>
          <a:ext cx="52638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596180</xdr:colOff>
      <xdr:row>12</xdr:row>
      <xdr:rowOff>52060</xdr:rowOff>
    </xdr:from>
    <xdr:to>
      <xdr:col>4</xdr:col>
      <xdr:colOff>596180</xdr:colOff>
      <xdr:row>14</xdr:row>
      <xdr:rowOff>0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1ED14740-B18F-4C63-91C1-EE7999C95F1F}"/>
            </a:ext>
          </a:extLst>
        </xdr:cNvPr>
        <xdr:cNvCxnSpPr/>
      </xdr:nvCxnSpPr>
      <xdr:spPr>
        <a:xfrm>
          <a:off x="3644180" y="2338060"/>
          <a:ext cx="0" cy="3289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10</xdr:row>
      <xdr:rowOff>95250</xdr:rowOff>
    </xdr:from>
    <xdr:to>
      <xdr:col>14</xdr:col>
      <xdr:colOff>628650</xdr:colOff>
      <xdr:row>10</xdr:row>
      <xdr:rowOff>104775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F60C7008-B69B-4F33-894E-2EBCEBB0C4C3}"/>
            </a:ext>
          </a:extLst>
        </xdr:cNvPr>
        <xdr:cNvCxnSpPr/>
      </xdr:nvCxnSpPr>
      <xdr:spPr>
        <a:xfrm>
          <a:off x="10296525" y="2190750"/>
          <a:ext cx="2790825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200025</xdr:colOff>
      <xdr:row>27</xdr:row>
      <xdr:rowOff>133350</xdr:rowOff>
    </xdr:from>
    <xdr:to>
      <xdr:col>8</xdr:col>
      <xdr:colOff>66675</xdr:colOff>
      <xdr:row>27</xdr:row>
      <xdr:rowOff>145848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93324E25-B483-49EE-BFF9-76EB6AA9BF37}"/>
            </a:ext>
          </a:extLst>
        </xdr:cNvPr>
        <xdr:cNvCxnSpPr/>
      </xdr:nvCxnSpPr>
      <xdr:spPr>
        <a:xfrm>
          <a:off x="1819275" y="4552950"/>
          <a:ext cx="2162175" cy="1249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742950</xdr:colOff>
      <xdr:row>1</xdr:row>
      <xdr:rowOff>85725</xdr:rowOff>
    </xdr:from>
    <xdr:to>
      <xdr:col>11</xdr:col>
      <xdr:colOff>19050</xdr:colOff>
      <xdr:row>18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0FA39F-A797-485B-80E8-59D2815FA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276225"/>
          <a:ext cx="552450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742950</xdr:colOff>
      <xdr:row>1</xdr:row>
      <xdr:rowOff>104775</xdr:rowOff>
    </xdr:from>
    <xdr:to>
      <xdr:col>10</xdr:col>
      <xdr:colOff>85725</xdr:colOff>
      <xdr:row>20</xdr:row>
      <xdr:rowOff>142875</xdr:rowOff>
    </xdr:to>
    <xdr:pic>
      <xdr:nvPicPr>
        <xdr:cNvPr id="2" name="Imagen 1" descr="Punto de equilibrio: Cómo calcularo, analizarlo e interpretarlo">
          <a:extLst>
            <a:ext uri="{FF2B5EF4-FFF2-40B4-BE49-F238E27FC236}">
              <a16:creationId xmlns:a16="http://schemas.microsoft.com/office/drawing/2014/main" id="{D5866139-204F-44C3-8FCC-9CD6ED62D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95275"/>
          <a:ext cx="47339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886883</xdr:colOff>
      <xdr:row>11</xdr:row>
      <xdr:rowOff>1</xdr:rowOff>
    </xdr:from>
    <xdr:to>
      <xdr:col>8</xdr:col>
      <xdr:colOff>318558</xdr:colOff>
      <xdr:row>24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061DC68-66C3-4FE3-BF3E-1198B119E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866775</xdr:colOff>
      <xdr:row>25</xdr:row>
      <xdr:rowOff>180975</xdr:rowOff>
    </xdr:from>
    <xdr:to>
      <xdr:col>5</xdr:col>
      <xdr:colOff>866775</xdr:colOff>
      <xdr:row>28</xdr:row>
      <xdr:rowOff>114300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C4E3F8FD-8FFA-4B87-840B-69669C75BAF5}"/>
            </a:ext>
          </a:extLst>
        </xdr:cNvPr>
        <xdr:cNvCxnSpPr/>
      </xdr:nvCxnSpPr>
      <xdr:spPr>
        <a:xfrm>
          <a:off x="6162675" y="4953000"/>
          <a:ext cx="0" cy="504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2F2EE-271D-4E22-BD85-02E0FF960BB7}">
  <dimension ref="A1:AA81"/>
  <sheetViews>
    <sheetView zoomScaleNormal="100" workbookViewId="0">
      <selection activeCell="L10" sqref="L10"/>
    </sheetView>
  </sheetViews>
  <sheetFormatPr baseColWidth="10" defaultRowHeight="15" x14ac:dyDescent="0.25"/>
  <cols>
    <col min="1" max="1" width="5.5703125" customWidth="1"/>
    <col min="3" max="3" width="14.140625" customWidth="1"/>
    <col min="4" max="4" width="9.28515625" customWidth="1"/>
    <col min="5" max="5" width="14" bestFit="1" customWidth="1"/>
    <col min="6" max="6" width="19" customWidth="1"/>
    <col min="7" max="7" width="15.5703125" customWidth="1"/>
    <col min="8" max="8" width="13.710937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17" t="s">
        <v>57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0" x14ac:dyDescent="0.25">
      <c r="A4" s="1"/>
      <c r="B4" s="159" t="s">
        <v>7</v>
      </c>
      <c r="C4" s="159"/>
      <c r="D4" s="11" t="s">
        <v>6</v>
      </c>
      <c r="E4" s="12" t="s">
        <v>13</v>
      </c>
      <c r="F4" s="12" t="s">
        <v>14</v>
      </c>
      <c r="G4" s="12" t="s">
        <v>15</v>
      </c>
      <c r="H4" s="12" t="s">
        <v>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156" t="s">
        <v>9</v>
      </c>
      <c r="C6" s="41" t="s">
        <v>0</v>
      </c>
      <c r="D6" s="42" t="s">
        <v>16</v>
      </c>
      <c r="E6" s="43">
        <v>25.6</v>
      </c>
      <c r="F6" s="41" t="s">
        <v>19</v>
      </c>
      <c r="G6" s="44">
        <v>4</v>
      </c>
      <c r="H6" s="45">
        <f>E6/G6</f>
        <v>6.4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"/>
      <c r="B7" s="158"/>
      <c r="C7" s="30" t="s">
        <v>1</v>
      </c>
      <c r="D7" s="6" t="s">
        <v>17</v>
      </c>
      <c r="E7" s="8">
        <v>22.5</v>
      </c>
      <c r="F7" s="30" t="s">
        <v>20</v>
      </c>
      <c r="G7" s="10">
        <f>500/5</f>
        <v>100</v>
      </c>
      <c r="H7" s="9">
        <f t="shared" ref="H7:H9" si="0">E7/G7</f>
        <v>0.22500000000000001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x14ac:dyDescent="0.25">
      <c r="A8" s="1"/>
      <c r="B8" s="158"/>
      <c r="C8" s="30" t="s">
        <v>4</v>
      </c>
      <c r="D8" s="6" t="s">
        <v>18</v>
      </c>
      <c r="E8" s="8">
        <v>63.8</v>
      </c>
      <c r="F8" s="30" t="s">
        <v>21</v>
      </c>
      <c r="G8" s="10">
        <f>1000/20</f>
        <v>50</v>
      </c>
      <c r="H8" s="9">
        <f t="shared" si="0"/>
        <v>1.276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x14ac:dyDescent="0.25">
      <c r="A9" s="1"/>
      <c r="B9" s="157"/>
      <c r="C9" s="30" t="s">
        <v>10</v>
      </c>
      <c r="D9" s="6" t="s">
        <v>16</v>
      </c>
      <c r="E9" s="8">
        <v>400</v>
      </c>
      <c r="F9" s="30" t="s">
        <v>26</v>
      </c>
      <c r="G9" s="10">
        <f>1000/10</f>
        <v>100</v>
      </c>
      <c r="H9" s="9">
        <f t="shared" si="0"/>
        <v>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x14ac:dyDescent="0.25">
      <c r="A10" s="1"/>
      <c r="B10" s="1"/>
      <c r="C10" s="15"/>
      <c r="D10" s="4"/>
      <c r="E10" s="1"/>
      <c r="F10" s="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156" t="s">
        <v>11</v>
      </c>
      <c r="C11" s="30" t="s">
        <v>2</v>
      </c>
      <c r="D11" s="6" t="s">
        <v>16</v>
      </c>
      <c r="E11" s="40">
        <f>'5- Anexar insumos'!C7</f>
        <v>329</v>
      </c>
      <c r="F11" s="6" t="s">
        <v>23</v>
      </c>
      <c r="G11" s="33">
        <f>1000/200</f>
        <v>5</v>
      </c>
      <c r="H11" s="9">
        <f t="shared" ref="H11:H12" si="1">E11/G11</f>
        <v>65.8</v>
      </c>
      <c r="I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157"/>
      <c r="C12" s="30" t="s">
        <v>12</v>
      </c>
      <c r="D12" s="6" t="s">
        <v>18</v>
      </c>
      <c r="E12" s="8">
        <v>74.5</v>
      </c>
      <c r="F12" s="6" t="s">
        <v>22</v>
      </c>
      <c r="G12" s="10">
        <f>1000/65</f>
        <v>15.384615384615385</v>
      </c>
      <c r="H12" s="9">
        <f t="shared" si="1"/>
        <v>4.8425000000000002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x14ac:dyDescent="0.25">
      <c r="A14" s="1"/>
      <c r="B14" s="1"/>
      <c r="C14" s="1"/>
      <c r="D14" s="1"/>
      <c r="E14" s="1"/>
      <c r="F14" s="1"/>
      <c r="G14" s="13" t="s">
        <v>27</v>
      </c>
      <c r="H14" s="32">
        <f>SUM(H6:H12)</f>
        <v>82.543499999999995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25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25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5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25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0:27" x14ac:dyDescent="0.25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</sheetData>
  <mergeCells count="3">
    <mergeCell ref="B11:B12"/>
    <mergeCell ref="B6:B9"/>
    <mergeCell ref="B4:C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A7017-98B8-44C4-B6EB-A5E2169DD7B0}">
  <sheetPr>
    <tabColor theme="8" tint="0.39997558519241921"/>
  </sheetPr>
  <dimension ref="A1:AC49"/>
  <sheetViews>
    <sheetView zoomScale="115" zoomScaleNormal="115" workbookViewId="0">
      <selection activeCell="C9" sqref="C9"/>
    </sheetView>
  </sheetViews>
  <sheetFormatPr baseColWidth="10" defaultRowHeight="15" x14ac:dyDescent="0.25"/>
  <cols>
    <col min="2" max="2" width="12.7109375" customWidth="1"/>
    <col min="3" max="3" width="12.85546875" customWidth="1"/>
  </cols>
  <sheetData>
    <row r="1" spans="1:2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5">
      <c r="A2" s="1"/>
      <c r="B2" s="1" t="s">
        <v>149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x14ac:dyDescent="0.25">
      <c r="A4" s="1"/>
      <c r="B4" s="39" t="s">
        <v>43</v>
      </c>
      <c r="C4" s="39" t="s">
        <v>54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x14ac:dyDescent="0.25">
      <c r="A5" s="1"/>
      <c r="B5" s="5" t="s">
        <v>3</v>
      </c>
      <c r="C5" s="7">
        <v>630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5">
      <c r="A6" s="1"/>
      <c r="B6" s="5" t="s">
        <v>4</v>
      </c>
      <c r="C6" s="7">
        <v>100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x14ac:dyDescent="0.25">
      <c r="A7" s="1"/>
      <c r="B7" s="5" t="s">
        <v>2</v>
      </c>
      <c r="C7" s="7">
        <v>329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x14ac:dyDescent="0.25">
      <c r="A8" s="1"/>
      <c r="B8" s="5" t="s">
        <v>0</v>
      </c>
      <c r="C8" s="7">
        <v>70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1"/>
      <c r="B9" s="5" t="s">
        <v>1</v>
      </c>
      <c r="C9" s="7">
        <v>32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x14ac:dyDescent="0.25">
      <c r="A12" s="1"/>
      <c r="B12" s="17" t="s">
        <v>51</v>
      </c>
      <c r="C12" s="15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5">
      <c r="A13" s="1"/>
      <c r="B13" s="1"/>
      <c r="C13" s="15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5">
      <c r="A14" s="1"/>
      <c r="B14" s="101" t="s">
        <v>194</v>
      </c>
      <c r="C14" s="15" t="s">
        <v>195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5">
      <c r="A17" s="1"/>
      <c r="B17" s="39" t="s">
        <v>43</v>
      </c>
      <c r="C17" s="39" t="s">
        <v>219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5">
      <c r="A18" s="1"/>
      <c r="B18" s="5" t="s">
        <v>217</v>
      </c>
      <c r="C18" s="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5">
      <c r="A19" s="1"/>
      <c r="B19" s="5" t="s">
        <v>218</v>
      </c>
      <c r="C19" s="7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2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2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2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08208-2B2F-488A-AFBF-15B59CCB2361}">
  <sheetPr>
    <tabColor theme="8" tint="0.39997558519241921"/>
  </sheetPr>
  <dimension ref="A1:AC42"/>
  <sheetViews>
    <sheetView zoomScaleNormal="100" workbookViewId="0">
      <selection activeCell="M17" sqref="M17"/>
    </sheetView>
  </sheetViews>
  <sheetFormatPr baseColWidth="10" defaultRowHeight="15" x14ac:dyDescent="0.25"/>
  <cols>
    <col min="2" max="2" width="25.5703125" customWidth="1"/>
    <col min="3" max="3" width="12" bestFit="1" customWidth="1"/>
  </cols>
  <sheetData>
    <row r="1" spans="1:2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9" x14ac:dyDescent="0.25">
      <c r="A2" s="1"/>
      <c r="B2" s="196" t="s">
        <v>92</v>
      </c>
      <c r="C2" s="196"/>
      <c r="D2" s="196"/>
      <c r="E2" s="196"/>
      <c r="F2" s="196"/>
      <c r="G2" s="196"/>
      <c r="H2" s="196"/>
      <c r="I2" s="196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9" x14ac:dyDescent="0.25">
      <c r="A4" s="1"/>
      <c r="B4" s="11" t="s">
        <v>43</v>
      </c>
      <c r="C4" s="11" t="s">
        <v>44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x14ac:dyDescent="0.25">
      <c r="A5" s="1"/>
      <c r="B5" s="1" t="s">
        <v>37</v>
      </c>
      <c r="C5" s="19">
        <v>15500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5">
      <c r="A6" s="1"/>
      <c r="B6" s="1" t="s">
        <v>41</v>
      </c>
      <c r="C6" s="19">
        <v>2500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x14ac:dyDescent="0.25">
      <c r="A7" s="1"/>
      <c r="B7" s="1" t="s">
        <v>38</v>
      </c>
      <c r="C7" s="19">
        <v>450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x14ac:dyDescent="0.25">
      <c r="A8" s="1"/>
      <c r="B8" s="1" t="s">
        <v>230</v>
      </c>
      <c r="C8" s="19">
        <v>25000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1"/>
      <c r="B9" s="88" t="s">
        <v>232</v>
      </c>
      <c r="C9" s="154">
        <v>35000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1"/>
      <c r="B10" s="88" t="s">
        <v>233</v>
      </c>
      <c r="C10" s="154">
        <f>C9*0.4</f>
        <v>14000</v>
      </c>
      <c r="D10" s="1"/>
      <c r="E10" s="1"/>
      <c r="F10" s="1"/>
      <c r="G10" s="155"/>
      <c r="H10" s="15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1"/>
      <c r="B11" s="1" t="s">
        <v>39</v>
      </c>
      <c r="C11" s="19">
        <v>3200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x14ac:dyDescent="0.25">
      <c r="A12" s="1"/>
      <c r="B12" s="1" t="s">
        <v>40</v>
      </c>
      <c r="C12" s="19">
        <v>2100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5">
      <c r="A13" s="1"/>
      <c r="B13" s="20" t="s">
        <v>197</v>
      </c>
      <c r="C13" s="21">
        <v>950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5">
      <c r="A15" s="1"/>
      <c r="B15" s="13" t="s">
        <v>42</v>
      </c>
      <c r="C15" s="14">
        <f>SUM(C5:C13)</f>
        <v>98700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5">
      <c r="A16" s="1"/>
      <c r="B16" s="1"/>
      <c r="C16" s="1"/>
      <c r="D16" s="1"/>
      <c r="E16" s="1" t="s">
        <v>52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5">
      <c r="A18" s="1"/>
      <c r="B18" s="1" t="s">
        <v>46</v>
      </c>
      <c r="C18" s="36">
        <f>C15</f>
        <v>98700</v>
      </c>
      <c r="D18" s="23"/>
      <c r="E18" s="1" t="s">
        <v>45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5">
      <c r="A19" s="1"/>
      <c r="B19" s="1" t="s">
        <v>47</v>
      </c>
      <c r="C19" s="37">
        <v>3500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x14ac:dyDescent="0.25">
      <c r="A21" s="1"/>
      <c r="B21" s="1" t="s">
        <v>48</v>
      </c>
      <c r="C21" s="38">
        <f>C18/C19</f>
        <v>28.2</v>
      </c>
      <c r="D21" s="1"/>
      <c r="E21" s="1" t="s">
        <v>61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</sheetData>
  <mergeCells count="1">
    <mergeCell ref="B2: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25F4-4335-4F3B-822A-CA21CE0B9FAB}">
  <sheetPr>
    <tabColor rgb="FF00B050"/>
  </sheetPr>
  <dimension ref="A1:S42"/>
  <sheetViews>
    <sheetView zoomScaleNormal="100" workbookViewId="0">
      <selection activeCell="H15" sqref="H15"/>
    </sheetView>
  </sheetViews>
  <sheetFormatPr baseColWidth="10" defaultRowHeight="15" x14ac:dyDescent="0.25"/>
  <sheetData>
    <row r="1" spans="1:1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x14ac:dyDescent="0.25">
      <c r="A2" s="1"/>
      <c r="B2" s="173" t="s">
        <v>241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"/>
      <c r="Q2" s="1"/>
      <c r="R2" s="1"/>
      <c r="S2" s="1"/>
    </row>
    <row r="3" spans="1:1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x14ac:dyDescent="0.25">
      <c r="A4" s="1"/>
      <c r="B4" s="190" t="s">
        <v>234</v>
      </c>
      <c r="C4" s="190"/>
      <c r="D4" s="190"/>
      <c r="E4" s="190"/>
      <c r="F4" s="19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5">
      <c r="A6" s="1"/>
      <c r="B6" s="19">
        <v>1000</v>
      </c>
      <c r="C6" s="1" t="s">
        <v>235</v>
      </c>
      <c r="D6" s="1" t="s">
        <v>236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25">
      <c r="A8" s="1"/>
      <c r="B8" s="19">
        <v>1000</v>
      </c>
      <c r="C8" s="1">
        <f>B8/B9</f>
        <v>333.33333333333331</v>
      </c>
      <c r="D8" s="1"/>
      <c r="E8" s="19">
        <f>C8/12</f>
        <v>27.777777777777775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x14ac:dyDescent="0.25">
      <c r="A9" s="1"/>
      <c r="B9" s="1">
        <v>3</v>
      </c>
      <c r="C9" s="1"/>
      <c r="D9" s="1"/>
      <c r="E9" s="19">
        <f>E8*148</f>
        <v>4111.1111111111104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x14ac:dyDescent="0.25">
      <c r="A11" s="1"/>
      <c r="B11" s="19">
        <v>1000</v>
      </c>
      <c r="C11" s="1" t="s">
        <v>238</v>
      </c>
      <c r="D11" s="1"/>
      <c r="E11" s="1" t="s">
        <v>239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x14ac:dyDescent="0.25">
      <c r="A12" s="1"/>
      <c r="B12" s="155">
        <v>3</v>
      </c>
      <c r="C12" s="155" t="s">
        <v>240</v>
      </c>
      <c r="D12" s="1"/>
      <c r="E12" s="19">
        <f>B11-B13</f>
        <v>750</v>
      </c>
      <c r="F12" s="1" t="s">
        <v>235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x14ac:dyDescent="0.25">
      <c r="A13" s="1"/>
      <c r="B13" s="19">
        <v>250</v>
      </c>
      <c r="C13" s="1" t="s">
        <v>237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x14ac:dyDescent="0.25">
      <c r="A15" s="1"/>
      <c r="B15" s="1"/>
      <c r="C15" s="1"/>
      <c r="D15" s="1"/>
      <c r="E15" s="19">
        <f>E12/36</f>
        <v>20.833333333333332</v>
      </c>
      <c r="F15" s="1" t="s">
        <v>235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x14ac:dyDescent="0.25">
      <c r="A18" s="1"/>
      <c r="B18" s="23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</sheetData>
  <mergeCells count="2">
    <mergeCell ref="B4:F4"/>
    <mergeCell ref="B2:O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FE6CB-49AA-43CD-8170-516ACF54CD20}">
  <sheetPr>
    <tabColor theme="8" tint="0.39997558519241921"/>
  </sheetPr>
  <dimension ref="A1:Z48"/>
  <sheetViews>
    <sheetView zoomScaleNormal="100" workbookViewId="0">
      <selection activeCell="A2" sqref="A2"/>
    </sheetView>
  </sheetViews>
  <sheetFormatPr baseColWidth="10" defaultRowHeight="15" x14ac:dyDescent="0.25"/>
  <cols>
    <col min="2" max="2" width="21.28515625" bestFit="1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7" t="s">
        <v>58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1" t="s">
        <v>43</v>
      </c>
      <c r="C4" s="11" t="s">
        <v>44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" t="s">
        <v>48</v>
      </c>
      <c r="C5" s="34">
        <f>'6- C. Fijos'!C21</f>
        <v>28.2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20" t="s">
        <v>49</v>
      </c>
      <c r="C6" s="35">
        <f>'Producto A'!H14</f>
        <v>82.543499999999995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24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"/>
      <c r="B8" s="24" t="s">
        <v>50</v>
      </c>
      <c r="C8" s="23">
        <f>SUM(C5:C6)</f>
        <v>110.7435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B5CC5-497F-4B3C-B74B-5162F7977DC1}">
  <sheetPr>
    <tabColor theme="8" tint="0.39997558519241921"/>
  </sheetPr>
  <dimension ref="A1:Y41"/>
  <sheetViews>
    <sheetView zoomScaleNormal="100" workbookViewId="0">
      <selection activeCell="I17" sqref="I17"/>
    </sheetView>
  </sheetViews>
  <sheetFormatPr baseColWidth="10" defaultRowHeight="15" x14ac:dyDescent="0.25"/>
  <cols>
    <col min="1" max="1" width="3.28515625" customWidth="1"/>
    <col min="3" max="3" width="14.140625" customWidth="1"/>
    <col min="4" max="4" width="9.28515625" customWidth="1"/>
    <col min="5" max="5" width="15.85546875" customWidth="1"/>
    <col min="6" max="6" width="19" customWidth="1"/>
    <col min="7" max="7" width="15.5703125" customWidth="1"/>
    <col min="8" max="8" width="13.7109375" customWidth="1"/>
    <col min="9" max="9" width="10.28515625" customWidth="1"/>
    <col min="10" max="10" width="19.7109375" bestFit="1" customWidth="1"/>
  </cols>
  <sheetData>
    <row r="1" spans="1:2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/>
      <c r="E2" s="1"/>
      <c r="F2" s="1"/>
      <c r="G2" s="1"/>
      <c r="H2" s="1"/>
      <c r="I2" s="1"/>
      <c r="J2" s="1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1"/>
      <c r="B3" s="173" t="s">
        <v>196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1"/>
      <c r="B4" s="1"/>
      <c r="C4" s="1"/>
      <c r="D4" s="1"/>
      <c r="E4" s="1"/>
      <c r="F4" s="1"/>
      <c r="G4" s="1"/>
      <c r="H4" s="1"/>
      <c r="I4" s="1"/>
      <c r="J4" s="17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30" x14ac:dyDescent="0.25">
      <c r="A5" s="1"/>
      <c r="B5" s="159" t="s">
        <v>7</v>
      </c>
      <c r="C5" s="159"/>
      <c r="D5" s="101" t="s">
        <v>6</v>
      </c>
      <c r="E5" s="12" t="s">
        <v>13</v>
      </c>
      <c r="F5" s="12" t="s">
        <v>14</v>
      </c>
      <c r="G5" s="12" t="s">
        <v>15</v>
      </c>
      <c r="H5" s="12" t="s">
        <v>8</v>
      </c>
      <c r="I5" s="1"/>
      <c r="J5" s="123" t="s">
        <v>36</v>
      </c>
      <c r="K5" s="1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74" t="str">
        <f>+'3- Aspectos Productivos'!B4</f>
        <v>Envase:</v>
      </c>
      <c r="K6" s="182" t="s">
        <v>33</v>
      </c>
      <c r="L6" s="183"/>
      <c r="M6" s="183"/>
      <c r="N6" s="183"/>
      <c r="O6" s="184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1"/>
      <c r="B7" s="156" t="s">
        <v>9</v>
      </c>
      <c r="C7" s="30" t="s">
        <v>0</v>
      </c>
      <c r="D7" s="6" t="s">
        <v>16</v>
      </c>
      <c r="E7" s="8">
        <f>VLOOKUP(C7,'5- Anexar insumos'!B5:C9,2,)</f>
        <v>70</v>
      </c>
      <c r="F7" s="6" t="s">
        <v>19</v>
      </c>
      <c r="G7" s="10">
        <v>4</v>
      </c>
      <c r="H7" s="9">
        <f>E7/G7</f>
        <v>17.5</v>
      </c>
      <c r="I7" s="1"/>
      <c r="J7" s="175"/>
      <c r="K7" s="185"/>
      <c r="L7" s="186"/>
      <c r="M7" s="186"/>
      <c r="N7" s="186"/>
      <c r="O7" s="187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25">
      <c r="A8" s="1"/>
      <c r="B8" s="158"/>
      <c r="C8" s="30" t="s">
        <v>1</v>
      </c>
      <c r="D8" s="6" t="s">
        <v>17</v>
      </c>
      <c r="E8" s="8">
        <v>32</v>
      </c>
      <c r="F8" s="6" t="s">
        <v>20</v>
      </c>
      <c r="G8" s="10">
        <f>500/5</f>
        <v>100</v>
      </c>
      <c r="H8" s="9">
        <f t="shared" ref="H8:H15" si="0">E8/G8</f>
        <v>0.32</v>
      </c>
      <c r="I8" s="1"/>
      <c r="K8" s="28"/>
      <c r="L8" s="28"/>
      <c r="M8" s="28"/>
      <c r="N8" s="28"/>
      <c r="O8" s="28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x14ac:dyDescent="0.25">
      <c r="A9" s="1"/>
      <c r="B9" s="158"/>
      <c r="C9" s="30" t="s">
        <v>4</v>
      </c>
      <c r="D9" s="6" t="s">
        <v>18</v>
      </c>
      <c r="E9" s="8">
        <v>78</v>
      </c>
      <c r="F9" s="6" t="s">
        <v>21</v>
      </c>
      <c r="G9" s="10">
        <f>1000/20</f>
        <v>50</v>
      </c>
      <c r="H9" s="9">
        <f t="shared" si="0"/>
        <v>1.56</v>
      </c>
      <c r="I9" s="1"/>
      <c r="J9" s="174" t="str">
        <f>+'3- Aspectos Productivos'!B8</f>
        <v>Precio unitario:</v>
      </c>
      <c r="K9" s="176" t="s">
        <v>30</v>
      </c>
      <c r="L9" s="177"/>
      <c r="M9" s="177"/>
      <c r="N9" s="177"/>
      <c r="O9" s="178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1"/>
      <c r="B10" s="157"/>
      <c r="C10" s="30" t="s">
        <v>10</v>
      </c>
      <c r="D10" s="6" t="s">
        <v>16</v>
      </c>
      <c r="E10" s="8">
        <v>500</v>
      </c>
      <c r="F10" s="6" t="s">
        <v>26</v>
      </c>
      <c r="G10" s="10">
        <f>1000/10</f>
        <v>100</v>
      </c>
      <c r="H10" s="9">
        <f t="shared" si="0"/>
        <v>5</v>
      </c>
      <c r="I10" s="1"/>
      <c r="J10" s="175"/>
      <c r="K10" s="179"/>
      <c r="L10" s="180"/>
      <c r="M10" s="180"/>
      <c r="N10" s="180"/>
      <c r="O10" s="18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25">
      <c r="A11" s="1"/>
      <c r="B11" s="1"/>
      <c r="C11" s="15"/>
      <c r="D11" s="4"/>
      <c r="E11" s="1"/>
      <c r="F11" s="4"/>
      <c r="G11" s="1"/>
      <c r="H11" s="1"/>
      <c r="I11" s="1"/>
      <c r="J11" s="1"/>
      <c r="K11" s="29"/>
      <c r="L11" s="18"/>
      <c r="M11" s="18"/>
      <c r="N11" s="18"/>
      <c r="O11" s="18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5">
      <c r="A12" s="1"/>
      <c r="B12" s="156" t="s">
        <v>11</v>
      </c>
      <c r="C12" s="30" t="s">
        <v>2</v>
      </c>
      <c r="D12" s="6" t="s">
        <v>16</v>
      </c>
      <c r="E12" s="8">
        <v>320</v>
      </c>
      <c r="F12" s="6" t="s">
        <v>23</v>
      </c>
      <c r="G12" s="10">
        <f>1000/200</f>
        <v>5</v>
      </c>
      <c r="H12" s="9">
        <f t="shared" si="0"/>
        <v>64</v>
      </c>
      <c r="I12" s="1"/>
      <c r="J12" s="174" t="str">
        <f>+'3- Aspectos Productivos'!B12</f>
        <v>Cantidad Unitaria</v>
      </c>
      <c r="K12" s="176" t="s">
        <v>186</v>
      </c>
      <c r="L12" s="177"/>
      <c r="M12" s="177"/>
      <c r="N12" s="177"/>
      <c r="O12" s="178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25">
      <c r="A13" s="1"/>
      <c r="B13" s="158"/>
      <c r="C13" s="30" t="s">
        <v>3</v>
      </c>
      <c r="D13" s="6" t="s">
        <v>16</v>
      </c>
      <c r="E13" s="8">
        <v>680</v>
      </c>
      <c r="F13" s="6" t="s">
        <v>24</v>
      </c>
      <c r="G13" s="10">
        <f>1000/80</f>
        <v>12.5</v>
      </c>
      <c r="H13" s="9">
        <f t="shared" si="0"/>
        <v>54.4</v>
      </c>
      <c r="I13" s="1"/>
      <c r="J13" s="175"/>
      <c r="K13" s="179"/>
      <c r="L13" s="180"/>
      <c r="M13" s="180"/>
      <c r="N13" s="180"/>
      <c r="O13" s="18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25">
      <c r="A14" s="1"/>
      <c r="B14" s="158"/>
      <c r="C14" s="30" t="s">
        <v>5</v>
      </c>
      <c r="D14" s="6" t="s">
        <v>16</v>
      </c>
      <c r="E14" s="8">
        <v>150</v>
      </c>
      <c r="F14" s="6" t="s">
        <v>25</v>
      </c>
      <c r="G14" s="10">
        <f>1000/40</f>
        <v>25</v>
      </c>
      <c r="H14" s="9">
        <f t="shared" si="0"/>
        <v>6</v>
      </c>
      <c r="I14" s="1"/>
      <c r="J14" s="1"/>
      <c r="K14" s="29"/>
      <c r="L14" s="18"/>
      <c r="M14" s="18"/>
      <c r="N14" s="18"/>
      <c r="O14" s="18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5">
      <c r="A15" s="1"/>
      <c r="B15" s="157"/>
      <c r="C15" s="30" t="s">
        <v>12</v>
      </c>
      <c r="D15" s="6" t="s">
        <v>18</v>
      </c>
      <c r="E15" s="8">
        <v>90</v>
      </c>
      <c r="F15" s="6" t="s">
        <v>22</v>
      </c>
      <c r="G15" s="10">
        <f>1000/65</f>
        <v>15.384615384615385</v>
      </c>
      <c r="H15" s="9">
        <f t="shared" si="0"/>
        <v>5.85</v>
      </c>
      <c r="I15" s="1"/>
      <c r="J15" s="174" t="str">
        <f>+'3- Aspectos Productivos'!B16</f>
        <v>Rendimiento:</v>
      </c>
      <c r="K15" s="176" t="s">
        <v>32</v>
      </c>
      <c r="L15" s="177"/>
      <c r="M15" s="177"/>
      <c r="N15" s="177"/>
      <c r="O15" s="178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1"/>
      <c r="B16" s="1"/>
      <c r="C16" s="1"/>
      <c r="D16" s="1"/>
      <c r="E16" s="1"/>
      <c r="F16" s="1"/>
      <c r="G16" s="1"/>
      <c r="H16" s="1"/>
      <c r="I16" s="1"/>
      <c r="J16" s="175"/>
      <c r="K16" s="179"/>
      <c r="L16" s="180"/>
      <c r="M16" s="180"/>
      <c r="N16" s="180"/>
      <c r="O16" s="18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1"/>
      <c r="B17" s="1"/>
      <c r="C17" s="1"/>
      <c r="D17" s="1"/>
      <c r="E17" s="1"/>
      <c r="F17" s="1"/>
      <c r="G17" s="13" t="s">
        <v>27</v>
      </c>
      <c r="H17" s="14">
        <f>SUM(H7:H15)</f>
        <v>154.63</v>
      </c>
      <c r="I17" s="150">
        <f>H17/H21</f>
        <v>0.84575835475578409</v>
      </c>
      <c r="J17" s="1"/>
      <c r="K17" s="29"/>
      <c r="L17" s="18"/>
      <c r="M17" s="18"/>
      <c r="N17" s="18"/>
      <c r="O17" s="18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5">
      <c r="A18" s="1"/>
      <c r="B18" s="1"/>
      <c r="C18" s="1"/>
      <c r="D18" s="1"/>
      <c r="E18" s="1"/>
      <c r="F18" s="1"/>
      <c r="G18" s="1"/>
      <c r="H18" s="1"/>
      <c r="I18" s="111"/>
      <c r="J18" s="174" t="str">
        <f>+'3- Aspectos Productivos'!B21</f>
        <v>Costo unitario:</v>
      </c>
      <c r="K18" s="176" t="s">
        <v>35</v>
      </c>
      <c r="L18" s="177"/>
      <c r="M18" s="177"/>
      <c r="N18" s="177"/>
      <c r="O18" s="178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1"/>
      <c r="B19" s="1"/>
      <c r="C19" s="1"/>
      <c r="D19" s="1"/>
      <c r="E19" s="1"/>
      <c r="F19" s="1"/>
      <c r="G19" s="13" t="s">
        <v>55</v>
      </c>
      <c r="H19" s="14">
        <f>+'6- C. Fijos'!C21</f>
        <v>28.2</v>
      </c>
      <c r="I19" s="150">
        <f>H19/H21</f>
        <v>0.15424164524421594</v>
      </c>
      <c r="J19" s="175"/>
      <c r="K19" s="179"/>
      <c r="L19" s="180"/>
      <c r="M19" s="180"/>
      <c r="N19" s="180"/>
      <c r="O19" s="18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1"/>
      <c r="B21" s="1"/>
      <c r="C21" s="1"/>
      <c r="D21" s="1"/>
      <c r="E21" s="1"/>
      <c r="F21" s="1"/>
      <c r="G21" s="13" t="s">
        <v>56</v>
      </c>
      <c r="H21" s="14">
        <f>H19+H17</f>
        <v>182.82999999999998</v>
      </c>
      <c r="I21" s="1"/>
      <c r="J21" s="1"/>
      <c r="K21" s="1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1"/>
      <c r="B23" s="1"/>
      <c r="C23" s="1"/>
      <c r="D23" s="1"/>
      <c r="E23" s="1"/>
      <c r="F23" s="1"/>
      <c r="G23" s="13" t="s">
        <v>53</v>
      </c>
      <c r="H23" s="26">
        <v>0.35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1"/>
      <c r="B25" s="1"/>
      <c r="C25" s="1"/>
      <c r="D25" s="1"/>
      <c r="E25" s="1"/>
      <c r="F25" s="1"/>
      <c r="G25" s="13" t="s">
        <v>54</v>
      </c>
      <c r="H25" s="14">
        <f>H21*(1+H23)</f>
        <v>246.82049999999998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</sheetData>
  <mergeCells count="14">
    <mergeCell ref="J18:J19"/>
    <mergeCell ref="K18:O19"/>
    <mergeCell ref="B3:O3"/>
    <mergeCell ref="B5:C5"/>
    <mergeCell ref="J6:J7"/>
    <mergeCell ref="K6:O7"/>
    <mergeCell ref="B7:B10"/>
    <mergeCell ref="J9:J10"/>
    <mergeCell ref="K9:O10"/>
    <mergeCell ref="B12:B15"/>
    <mergeCell ref="J12:J13"/>
    <mergeCell ref="K12:O13"/>
    <mergeCell ref="J15:J16"/>
    <mergeCell ref="K15:O1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0C3B2-E216-49BE-8DEE-04A88D602C9E}">
  <dimension ref="B2:G22"/>
  <sheetViews>
    <sheetView workbookViewId="0">
      <selection activeCell="F14" sqref="F14"/>
    </sheetView>
  </sheetViews>
  <sheetFormatPr baseColWidth="10" defaultRowHeight="15" x14ac:dyDescent="0.25"/>
  <cols>
    <col min="2" max="2" width="13.42578125" customWidth="1"/>
    <col min="4" max="4" width="15.5703125" customWidth="1"/>
    <col min="5" max="5" width="6" bestFit="1" customWidth="1"/>
    <col min="6" max="6" width="17.140625" bestFit="1" customWidth="1"/>
    <col min="7" max="7" width="34.28515625" bestFit="1" customWidth="1"/>
  </cols>
  <sheetData>
    <row r="2" spans="2:7" x14ac:dyDescent="0.25">
      <c r="B2" t="s">
        <v>133</v>
      </c>
    </row>
    <row r="3" spans="2:7" x14ac:dyDescent="0.25">
      <c r="G3" t="s">
        <v>148</v>
      </c>
    </row>
    <row r="4" spans="2:7" x14ac:dyDescent="0.25">
      <c r="B4" t="s">
        <v>132</v>
      </c>
      <c r="C4" s="89">
        <v>6000</v>
      </c>
    </row>
    <row r="6" spans="2:7" x14ac:dyDescent="0.25">
      <c r="B6" t="s">
        <v>134</v>
      </c>
      <c r="C6" s="90">
        <v>150000</v>
      </c>
      <c r="D6" t="s">
        <v>135</v>
      </c>
    </row>
    <row r="7" spans="2:7" x14ac:dyDescent="0.25">
      <c r="G7" s="70" t="s">
        <v>147</v>
      </c>
    </row>
    <row r="8" spans="2:7" x14ac:dyDescent="0.25">
      <c r="D8" s="70" t="s">
        <v>145</v>
      </c>
      <c r="E8" s="70" t="s">
        <v>142</v>
      </c>
      <c r="F8" t="s">
        <v>144</v>
      </c>
      <c r="G8" s="92" t="s">
        <v>146</v>
      </c>
    </row>
    <row r="9" spans="2:7" x14ac:dyDescent="0.25">
      <c r="C9" t="s">
        <v>131</v>
      </c>
      <c r="D9" s="89">
        <v>4</v>
      </c>
      <c r="E9">
        <f>D9*C18</f>
        <v>0.16</v>
      </c>
      <c r="F9" s="91">
        <f>D9+E9</f>
        <v>4.16</v>
      </c>
      <c r="G9" s="93">
        <f>E9/F9</f>
        <v>3.8461538461538464E-2</v>
      </c>
    </row>
    <row r="10" spans="2:7" x14ac:dyDescent="0.25">
      <c r="C10" t="s">
        <v>136</v>
      </c>
      <c r="D10" s="89">
        <v>14</v>
      </c>
      <c r="E10">
        <f>D10*C18</f>
        <v>0.56000000000000005</v>
      </c>
      <c r="F10" s="91">
        <f t="shared" ref="F10:F11" si="0">D10+E10</f>
        <v>14.56</v>
      </c>
      <c r="G10" s="93">
        <f t="shared" ref="G10:G11" si="1">E10/F10</f>
        <v>3.8461538461538464E-2</v>
      </c>
    </row>
    <row r="11" spans="2:7" x14ac:dyDescent="0.25">
      <c r="C11" t="s">
        <v>137</v>
      </c>
      <c r="D11" s="89">
        <v>789</v>
      </c>
      <c r="E11">
        <f>D11*C18</f>
        <v>31.560000000000002</v>
      </c>
      <c r="F11" s="91">
        <f t="shared" si="0"/>
        <v>820.56</v>
      </c>
      <c r="G11" s="93">
        <f t="shared" si="1"/>
        <v>3.8461538461538464E-2</v>
      </c>
    </row>
    <row r="14" spans="2:7" x14ac:dyDescent="0.25">
      <c r="B14" t="s">
        <v>138</v>
      </c>
    </row>
    <row r="16" spans="2:7" x14ac:dyDescent="0.25">
      <c r="B16" t="s">
        <v>139</v>
      </c>
    </row>
    <row r="18" spans="2:4" x14ac:dyDescent="0.25">
      <c r="B18" t="s">
        <v>140</v>
      </c>
      <c r="C18" s="89">
        <f>C4/C6</f>
        <v>0.04</v>
      </c>
      <c r="D18" t="s">
        <v>141</v>
      </c>
    </row>
    <row r="20" spans="2:4" x14ac:dyDescent="0.25">
      <c r="B20" t="s">
        <v>143</v>
      </c>
    </row>
    <row r="22" spans="2:4" x14ac:dyDescent="0.25">
      <c r="B22" t="s">
        <v>148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485E1-3E61-4382-9614-C28EA43307DD}">
  <sheetPr>
    <tabColor theme="8" tint="0.39997558519241921"/>
  </sheetPr>
  <dimension ref="A1:AH69"/>
  <sheetViews>
    <sheetView zoomScaleNormal="100" workbookViewId="0">
      <selection activeCell="I34" sqref="I34"/>
    </sheetView>
  </sheetViews>
  <sheetFormatPr baseColWidth="10" defaultRowHeight="15" x14ac:dyDescent="0.25"/>
  <cols>
    <col min="1" max="1" width="4.85546875" customWidth="1"/>
    <col min="3" max="3" width="14.140625" customWidth="1"/>
    <col min="4" max="4" width="9.28515625" customWidth="1"/>
    <col min="5" max="5" width="15.85546875" customWidth="1"/>
    <col min="6" max="6" width="19" customWidth="1"/>
    <col min="7" max="7" width="15.5703125" customWidth="1"/>
    <col min="8" max="8" width="13.7109375" customWidth="1"/>
    <col min="10" max="10" width="16.140625" bestFit="1" customWidth="1"/>
    <col min="11" max="11" width="14.5703125" customWidth="1"/>
    <col min="16" max="16" width="12.28515625" customWidth="1"/>
  </cols>
  <sheetData>
    <row r="1" spans="1:3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x14ac:dyDescent="0.25">
      <c r="A2" s="1"/>
      <c r="B2" s="17" t="s">
        <v>57</v>
      </c>
      <c r="C2" s="1"/>
      <c r="D2" s="1"/>
      <c r="E2" s="1"/>
      <c r="F2" s="1"/>
      <c r="G2" s="1"/>
      <c r="H2" s="1"/>
      <c r="I2" s="1"/>
      <c r="J2" s="17" t="s">
        <v>59</v>
      </c>
      <c r="K2" s="3" t="s">
        <v>60</v>
      </c>
      <c r="L2" s="111">
        <v>250</v>
      </c>
      <c r="M2" s="1"/>
      <c r="N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30" x14ac:dyDescent="0.25">
      <c r="A4" s="1"/>
      <c r="B4" s="159" t="s">
        <v>7</v>
      </c>
      <c r="C4" s="159"/>
      <c r="D4" s="11" t="s">
        <v>6</v>
      </c>
      <c r="E4" s="12" t="s">
        <v>13</v>
      </c>
      <c r="F4" s="12" t="s">
        <v>14</v>
      </c>
      <c r="G4" s="12" t="s">
        <v>15</v>
      </c>
      <c r="H4" s="12" t="s">
        <v>8</v>
      </c>
      <c r="I4" s="1"/>
      <c r="J4" s="11" t="s">
        <v>6</v>
      </c>
      <c r="K4" s="12" t="s">
        <v>13</v>
      </c>
      <c r="L4" s="12" t="s">
        <v>199</v>
      </c>
      <c r="M4" s="12" t="s">
        <v>198</v>
      </c>
      <c r="N4" s="152" t="s">
        <v>200</v>
      </c>
      <c r="O4" s="12" t="s">
        <v>201</v>
      </c>
      <c r="P4" s="12" t="s">
        <v>130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x14ac:dyDescent="0.25">
      <c r="A6" s="1"/>
      <c r="B6" s="156" t="s">
        <v>9</v>
      </c>
      <c r="C6" s="5" t="s">
        <v>0</v>
      </c>
      <c r="D6" s="6" t="s">
        <v>16</v>
      </c>
      <c r="E6" s="8">
        <v>26</v>
      </c>
      <c r="F6" s="151" t="s">
        <v>19</v>
      </c>
      <c r="G6" s="10">
        <v>4</v>
      </c>
      <c r="H6" s="9">
        <f>E6/G6</f>
        <v>6.5</v>
      </c>
      <c r="I6" s="1"/>
      <c r="J6" s="31" t="str">
        <f>C6</f>
        <v>Harina</v>
      </c>
      <c r="K6" s="8">
        <f>H6*$L$2</f>
        <v>1625</v>
      </c>
      <c r="L6" s="33">
        <f>$L$2/G6</f>
        <v>62.5</v>
      </c>
      <c r="M6" s="10">
        <f>ROUND(L6,0)</f>
        <v>63</v>
      </c>
      <c r="N6" s="10">
        <v>0</v>
      </c>
      <c r="O6" s="10">
        <f>IF(M6&gt;N6,M6,N6)</f>
        <v>63</v>
      </c>
      <c r="P6" s="8">
        <f>O6*E6</f>
        <v>1638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x14ac:dyDescent="0.25">
      <c r="A7" s="1"/>
      <c r="B7" s="158"/>
      <c r="C7" s="5" t="s">
        <v>1</v>
      </c>
      <c r="D7" s="6" t="s">
        <v>17</v>
      </c>
      <c r="E7" s="8">
        <v>22.5</v>
      </c>
      <c r="F7" s="151" t="s">
        <v>20</v>
      </c>
      <c r="G7" s="10">
        <f>500/5</f>
        <v>100</v>
      </c>
      <c r="H7" s="9">
        <f t="shared" ref="H7:H9" si="0">E7/G7</f>
        <v>0.22500000000000001</v>
      </c>
      <c r="I7" s="1"/>
      <c r="J7" s="31" t="str">
        <f t="shared" ref="J7:J9" si="1">C7</f>
        <v>Sal</v>
      </c>
      <c r="K7" s="8">
        <f>H7*$L$2</f>
        <v>56.25</v>
      </c>
      <c r="L7" s="33">
        <f t="shared" ref="L7:L9" si="2">$L$2/G7</f>
        <v>2.5</v>
      </c>
      <c r="M7" s="10">
        <f t="shared" ref="M7:M9" si="3">ROUND(L7,0)</f>
        <v>3</v>
      </c>
      <c r="N7" s="10">
        <v>0</v>
      </c>
      <c r="O7" s="10">
        <f t="shared" ref="O7:O9" si="4">IF(M7&gt;N7,M7,N7)</f>
        <v>3</v>
      </c>
      <c r="P7" s="8">
        <f t="shared" ref="P7:P9" si="5">O7*E7</f>
        <v>67.5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x14ac:dyDescent="0.25">
      <c r="A8" s="1"/>
      <c r="B8" s="158"/>
      <c r="C8" s="5" t="s">
        <v>4</v>
      </c>
      <c r="D8" s="6" t="s">
        <v>18</v>
      </c>
      <c r="E8" s="8">
        <v>63.8</v>
      </c>
      <c r="F8" s="151" t="s">
        <v>21</v>
      </c>
      <c r="G8" s="10">
        <f>1000/20</f>
        <v>50</v>
      </c>
      <c r="H8" s="9">
        <f t="shared" si="0"/>
        <v>1.276</v>
      </c>
      <c r="I8" s="1"/>
      <c r="J8" s="31" t="str">
        <f t="shared" si="1"/>
        <v>Aceite</v>
      </c>
      <c r="K8" s="8">
        <f>H8*$L$2</f>
        <v>319</v>
      </c>
      <c r="L8" s="33">
        <f t="shared" si="2"/>
        <v>5</v>
      </c>
      <c r="M8" s="10">
        <f t="shared" si="3"/>
        <v>5</v>
      </c>
      <c r="N8" s="153">
        <v>10</v>
      </c>
      <c r="O8" s="10">
        <f t="shared" si="4"/>
        <v>10</v>
      </c>
      <c r="P8" s="8">
        <f t="shared" si="5"/>
        <v>638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x14ac:dyDescent="0.25">
      <c r="A9" s="1"/>
      <c r="B9" s="157"/>
      <c r="C9" s="5" t="s">
        <v>10</v>
      </c>
      <c r="D9" s="6" t="s">
        <v>16</v>
      </c>
      <c r="E9" s="8">
        <v>400</v>
      </c>
      <c r="F9" s="151" t="s">
        <v>26</v>
      </c>
      <c r="G9" s="10">
        <f>1000/10</f>
        <v>100</v>
      </c>
      <c r="H9" s="9">
        <f t="shared" si="0"/>
        <v>4</v>
      </c>
      <c r="I9" s="1"/>
      <c r="J9" s="31" t="str">
        <f t="shared" si="1"/>
        <v>Levadura</v>
      </c>
      <c r="K9" s="8">
        <f>H9*$L$2</f>
        <v>1000</v>
      </c>
      <c r="L9" s="33">
        <f t="shared" si="2"/>
        <v>2.5</v>
      </c>
      <c r="M9" s="10">
        <f t="shared" si="3"/>
        <v>3</v>
      </c>
      <c r="N9" s="10">
        <v>0</v>
      </c>
      <c r="O9" s="10">
        <f t="shared" si="4"/>
        <v>3</v>
      </c>
      <c r="P9" s="8">
        <f t="shared" si="5"/>
        <v>1200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 x14ac:dyDescent="0.25">
      <c r="A10" s="1"/>
      <c r="B10" s="1"/>
      <c r="C10" s="1"/>
      <c r="D10" s="4"/>
      <c r="E10" s="1"/>
      <c r="F10" s="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x14ac:dyDescent="0.25">
      <c r="A11" s="1"/>
      <c r="B11" s="156" t="s">
        <v>11</v>
      </c>
      <c r="C11" s="5" t="s">
        <v>2</v>
      </c>
      <c r="D11" s="6" t="s">
        <v>16</v>
      </c>
      <c r="E11" s="8">
        <v>265</v>
      </c>
      <c r="F11" s="151" t="s">
        <v>23</v>
      </c>
      <c r="G11" s="10">
        <f>1000/200</f>
        <v>5</v>
      </c>
      <c r="H11" s="9">
        <f t="shared" ref="H11:H14" si="6">E11/G11</f>
        <v>53</v>
      </c>
      <c r="I11" s="1"/>
      <c r="J11" s="3" t="s">
        <v>231</v>
      </c>
      <c r="K11" s="22">
        <f>SUM(K6:K9)</f>
        <v>3000.25</v>
      </c>
      <c r="L11" s="1"/>
      <c r="M11" s="1"/>
      <c r="N11" s="1"/>
      <c r="P11" s="22">
        <f>SUM(P6:P9)</f>
        <v>3543.5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4" x14ac:dyDescent="0.25">
      <c r="A12" s="1"/>
      <c r="B12" s="158"/>
      <c r="C12" s="5" t="s">
        <v>3</v>
      </c>
      <c r="D12" s="6" t="s">
        <v>16</v>
      </c>
      <c r="E12" s="8">
        <v>630</v>
      </c>
      <c r="F12" s="151" t="s">
        <v>24</v>
      </c>
      <c r="G12" s="10">
        <f>1000/80</f>
        <v>12.5</v>
      </c>
      <c r="H12" s="9">
        <f t="shared" si="6"/>
        <v>50.4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4" x14ac:dyDescent="0.25">
      <c r="A13" s="1"/>
      <c r="B13" s="158"/>
      <c r="C13" s="5" t="s">
        <v>5</v>
      </c>
      <c r="D13" s="6" t="s">
        <v>16</v>
      </c>
      <c r="E13" s="8">
        <v>120</v>
      </c>
      <c r="F13" s="151" t="s">
        <v>25</v>
      </c>
      <c r="G13" s="10">
        <f>1000/40</f>
        <v>25</v>
      </c>
      <c r="H13" s="9">
        <f t="shared" si="6"/>
        <v>4.8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x14ac:dyDescent="0.25">
      <c r="A14" s="1"/>
      <c r="B14" s="157"/>
      <c r="C14" s="5" t="s">
        <v>12</v>
      </c>
      <c r="D14" s="6" t="s">
        <v>18</v>
      </c>
      <c r="E14" s="8">
        <v>74.5</v>
      </c>
      <c r="F14" s="151" t="s">
        <v>22</v>
      </c>
      <c r="G14" s="10">
        <f>1000/65</f>
        <v>15.384615384615385</v>
      </c>
      <c r="H14" s="9">
        <f t="shared" si="6"/>
        <v>4.8425000000000002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3" t="s">
        <v>27</v>
      </c>
      <c r="H16" s="14">
        <f>SUM(H6:H14)</f>
        <v>125.04350000000001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2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3" t="s">
        <v>55</v>
      </c>
      <c r="H18" s="14">
        <f>+'6- C. Fijos'!C15/600</f>
        <v>164.5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3" t="s">
        <v>56</v>
      </c>
      <c r="H20" s="14">
        <f>H18+H16</f>
        <v>289.54349999999999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3" t="s">
        <v>53</v>
      </c>
      <c r="H22" s="26">
        <v>0.3</v>
      </c>
      <c r="I22" s="1"/>
      <c r="J22" s="2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3" t="s">
        <v>54</v>
      </c>
      <c r="H24" s="14">
        <f>H20*(1+H22)</f>
        <v>376.40654999999998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x14ac:dyDescent="0.25">
      <c r="J68" s="1"/>
      <c r="K68" s="1"/>
    </row>
    <row r="69" spans="1:34" x14ac:dyDescent="0.25">
      <c r="J69" s="1"/>
      <c r="K69" s="1"/>
    </row>
  </sheetData>
  <mergeCells count="3">
    <mergeCell ref="B4:C4"/>
    <mergeCell ref="B6:B9"/>
    <mergeCell ref="B11:B1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95825-CF3C-4A33-8330-F662B6914DCC}">
  <sheetPr>
    <tabColor rgb="FF00B050"/>
  </sheetPr>
  <dimension ref="A1:S50"/>
  <sheetViews>
    <sheetView zoomScaleNormal="100" workbookViewId="0">
      <selection activeCell="F21" sqref="F21"/>
    </sheetView>
  </sheetViews>
  <sheetFormatPr baseColWidth="10" defaultRowHeight="15" x14ac:dyDescent="0.25"/>
  <cols>
    <col min="2" max="2" width="53.140625" bestFit="1" customWidth="1"/>
  </cols>
  <sheetData>
    <row r="1" spans="1:1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x14ac:dyDescent="0.25">
      <c r="A2" s="1"/>
      <c r="B2" s="196" t="s">
        <v>252</v>
      </c>
      <c r="C2" s="196"/>
      <c r="D2" s="196"/>
      <c r="E2" s="196"/>
      <c r="F2" s="196"/>
      <c r="G2" s="19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x14ac:dyDescent="0.25">
      <c r="A3" s="1"/>
      <c r="B3" s="112"/>
      <c r="C3" s="112"/>
      <c r="D3" s="112"/>
      <c r="E3" s="112"/>
      <c r="F3" s="112"/>
      <c r="G3" s="11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x14ac:dyDescent="0.25">
      <c r="A5" s="1"/>
      <c r="B5" s="3" t="s">
        <v>242</v>
      </c>
      <c r="C5" s="110">
        <v>500</v>
      </c>
      <c r="D5" s="197" t="str">
        <f>"/ hora"</f>
        <v>/ hora</v>
      </c>
      <c r="E5" s="197"/>
      <c r="F5" s="197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5">
      <c r="A6" s="1"/>
      <c r="B6" s="198" t="s">
        <v>249</v>
      </c>
      <c r="C6" s="197"/>
      <c r="D6" s="197"/>
      <c r="E6" s="197"/>
      <c r="F6" s="197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x14ac:dyDescent="0.25">
      <c r="A7" s="1"/>
      <c r="B7" s="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25">
      <c r="A8" s="1"/>
      <c r="B8" s="3" t="s">
        <v>244</v>
      </c>
      <c r="C8" s="200">
        <v>20</v>
      </c>
      <c r="D8" s="1" t="s">
        <v>254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x14ac:dyDescent="0.25">
      <c r="A9" s="1"/>
      <c r="B9" s="198" t="s">
        <v>250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x14ac:dyDescent="0.25">
      <c r="A10" s="1"/>
      <c r="B10" s="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x14ac:dyDescent="0.25">
      <c r="A11" s="1"/>
      <c r="B11" s="3" t="s">
        <v>243</v>
      </c>
      <c r="C11" s="199">
        <f>C8/60</f>
        <v>0.33333333333333331</v>
      </c>
      <c r="D11" s="1"/>
      <c r="E11" s="19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x14ac:dyDescent="0.25">
      <c r="A12" s="1"/>
      <c r="B12" s="198" t="s">
        <v>251</v>
      </c>
      <c r="C12" s="1"/>
      <c r="D12" s="1"/>
      <c r="E12" s="19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x14ac:dyDescent="0.25">
      <c r="A13" s="1"/>
      <c r="B13" s="3"/>
      <c r="C13" s="1"/>
      <c r="D13" s="1"/>
      <c r="E13" s="19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x14ac:dyDescent="0.25">
      <c r="A14" s="1"/>
      <c r="B14" s="3" t="s">
        <v>245</v>
      </c>
      <c r="C14" s="200">
        <v>12</v>
      </c>
      <c r="D14" s="1" t="s">
        <v>255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x14ac:dyDescent="0.25">
      <c r="A15" s="1"/>
      <c r="B15" s="198" t="s">
        <v>246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x14ac:dyDescent="0.25">
      <c r="A16" s="1"/>
      <c r="B16" s="3"/>
      <c r="C16" s="155"/>
      <c r="D16" s="1"/>
      <c r="E16" s="1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x14ac:dyDescent="0.25">
      <c r="A17" s="1"/>
      <c r="B17" s="3" t="s">
        <v>247</v>
      </c>
      <c r="C17" s="201">
        <f>C11/C14</f>
        <v>2.7777777777777776E-2</v>
      </c>
      <c r="D17" s="1" t="s">
        <v>256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x14ac:dyDescent="0.25">
      <c r="A18" s="1"/>
      <c r="B18" s="198" t="s">
        <v>253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x14ac:dyDescent="0.25">
      <c r="A19" s="1"/>
      <c r="B19" s="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x14ac:dyDescent="0.25">
      <c r="A20" s="1"/>
      <c r="B20" s="3" t="s">
        <v>247</v>
      </c>
      <c r="C20" s="201">
        <f>C17*60</f>
        <v>1.6666666666666665</v>
      </c>
      <c r="D20" s="1" t="s">
        <v>254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x14ac:dyDescent="0.25">
      <c r="A21" s="1"/>
      <c r="B21" s="198" t="s">
        <v>253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x14ac:dyDescent="0.25">
      <c r="A22" s="1"/>
      <c r="B22" s="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x14ac:dyDescent="0.25">
      <c r="A23" s="1"/>
      <c r="B23" s="3" t="s">
        <v>248</v>
      </c>
      <c r="C23" s="110">
        <f>C17*C5</f>
        <v>13.888888888888888</v>
      </c>
      <c r="D23" s="1"/>
      <c r="E23" s="19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x14ac:dyDescent="0.25">
      <c r="A24" s="1"/>
      <c r="B24" s="198" t="s">
        <v>253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x14ac:dyDescent="0.25">
      <c r="A25" s="1"/>
      <c r="B25" s="197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x14ac:dyDescent="0.25">
      <c r="A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</sheetData>
  <mergeCells count="1">
    <mergeCell ref="B2:G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E7D49-B2EF-4FD8-A0AB-1F17947DA6E8}">
  <sheetPr>
    <tabColor theme="8" tint="0.39997558519241921"/>
  </sheetPr>
  <dimension ref="A1:AH72"/>
  <sheetViews>
    <sheetView tabSelected="1" zoomScaleNormal="100" workbookViewId="0">
      <selection activeCell="N27" sqref="N27"/>
    </sheetView>
  </sheetViews>
  <sheetFormatPr baseColWidth="10" defaultRowHeight="15" x14ac:dyDescent="0.25"/>
  <cols>
    <col min="1" max="1" width="4" customWidth="1"/>
    <col min="2" max="2" width="9.7109375" customWidth="1"/>
    <col min="3" max="3" width="10.5703125" customWidth="1"/>
    <col min="4" max="4" width="6" bestFit="1" customWidth="1"/>
    <col min="5" max="6" width="9.42578125" bestFit="1" customWidth="1"/>
    <col min="7" max="7" width="7.5703125" bestFit="1" customWidth="1"/>
    <col min="8" max="8" width="2" bestFit="1" customWidth="1"/>
    <col min="9" max="9" width="6" bestFit="1" customWidth="1"/>
    <col min="10" max="10" width="2" bestFit="1" customWidth="1"/>
    <col min="11" max="11" width="11.85546875" customWidth="1"/>
    <col min="16" max="16" width="12.28515625" customWidth="1"/>
  </cols>
  <sheetData>
    <row r="1" spans="1:3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x14ac:dyDescent="0.25">
      <c r="A2" s="1"/>
      <c r="B2" s="130" t="s">
        <v>203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x14ac:dyDescent="0.25">
      <c r="A4" s="1"/>
      <c r="B4" s="191" t="s">
        <v>204</v>
      </c>
      <c r="C4" s="192"/>
      <c r="D4" s="194" t="s">
        <v>214</v>
      </c>
      <c r="E4" s="194"/>
      <c r="F4" s="194"/>
      <c r="G4" s="194"/>
      <c r="H4" s="194"/>
      <c r="I4" s="194"/>
      <c r="J4" s="194"/>
      <c r="K4" s="194"/>
      <c r="L4" s="194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x14ac:dyDescent="0.25">
      <c r="A6" s="1"/>
      <c r="B6" s="193" t="s">
        <v>205</v>
      </c>
      <c r="C6" s="193"/>
      <c r="D6" s="193"/>
      <c r="E6" s="193"/>
      <c r="F6" s="193"/>
      <c r="G6" s="193"/>
      <c r="H6" s="19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x14ac:dyDescent="0.25">
      <c r="A7" s="1"/>
      <c r="B7" s="193"/>
      <c r="C7" s="193"/>
      <c r="D7" s="193"/>
      <c r="E7" s="193"/>
      <c r="F7" s="193"/>
      <c r="G7" s="193"/>
      <c r="H7" s="19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x14ac:dyDescent="0.25">
      <c r="A9" s="1"/>
      <c r="B9" s="1" t="s">
        <v>206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x14ac:dyDescent="0.25">
      <c r="A11" s="1"/>
      <c r="B11" s="1" t="s">
        <v>207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4" x14ac:dyDescent="0.25">
      <c r="A13" s="1"/>
      <c r="B13" s="1"/>
      <c r="C13" s="1"/>
      <c r="D13" s="4"/>
      <c r="E13" s="19"/>
      <c r="F13" s="1"/>
      <c r="G13" s="1" t="s">
        <v>105</v>
      </c>
      <c r="H13" s="1" t="s">
        <v>157</v>
      </c>
      <c r="I13" s="1" t="s">
        <v>130</v>
      </c>
      <c r="J13" s="1" t="s">
        <v>156</v>
      </c>
      <c r="K13" s="19">
        <v>45000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5.0999999999999996" customHeight="1" x14ac:dyDescent="0.25">
      <c r="A14" s="1"/>
      <c r="B14" s="1"/>
      <c r="C14" s="1"/>
      <c r="D14" s="4"/>
      <c r="E14" s="19"/>
      <c r="F14" s="1"/>
      <c r="G14" s="1"/>
      <c r="H14" s="1"/>
      <c r="I14" s="1"/>
      <c r="J14" s="1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 t="s">
        <v>105</v>
      </c>
      <c r="H15" s="1" t="s">
        <v>172</v>
      </c>
      <c r="I15" s="1" t="s">
        <v>130</v>
      </c>
      <c r="J15" s="1" t="s">
        <v>157</v>
      </c>
      <c r="K15" s="19">
        <v>45000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5.0999999999999996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x14ac:dyDescent="0.25">
      <c r="A17" s="1"/>
      <c r="B17" s="1"/>
      <c r="C17" s="4"/>
      <c r="D17" s="1"/>
      <c r="E17" s="4"/>
      <c r="F17" s="19"/>
      <c r="G17" s="4" t="s">
        <v>208</v>
      </c>
      <c r="H17" s="4" t="s">
        <v>172</v>
      </c>
      <c r="I17" s="4" t="s">
        <v>209</v>
      </c>
      <c r="J17" s="1" t="s">
        <v>157</v>
      </c>
      <c r="K17" s="19">
        <v>45000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ht="5.0999999999999996" customHeight="1" x14ac:dyDescent="0.25">
      <c r="A18" s="1"/>
      <c r="B18" s="1"/>
      <c r="C18" s="4"/>
      <c r="D18" s="1"/>
      <c r="E18" s="4"/>
      <c r="F18" s="19"/>
      <c r="G18" s="4"/>
      <c r="H18" s="4"/>
      <c r="I18" s="4"/>
      <c r="J18" s="1"/>
      <c r="K18" s="1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3" t="s">
        <v>88</v>
      </c>
      <c r="H19" s="3" t="s">
        <v>210</v>
      </c>
      <c r="I19" s="111" t="s">
        <v>211</v>
      </c>
      <c r="J19" s="1" t="s">
        <v>157</v>
      </c>
      <c r="K19" s="19">
        <v>45000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ht="5.0999999999999996" customHeight="1" x14ac:dyDescent="0.25">
      <c r="A20" s="1"/>
      <c r="B20" s="1"/>
      <c r="C20" s="1"/>
      <c r="D20" s="1"/>
      <c r="E20" s="1"/>
      <c r="F20" s="1"/>
      <c r="G20" s="3"/>
      <c r="H20" s="3"/>
      <c r="I20" s="111"/>
      <c r="J20" s="1"/>
      <c r="K20" s="1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3" t="s">
        <v>88</v>
      </c>
      <c r="J21" s="1" t="s">
        <v>157</v>
      </c>
      <c r="K21" s="125">
        <v>45000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4" t="s">
        <v>212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4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x14ac:dyDescent="0.25">
      <c r="A24" s="1"/>
      <c r="B24" s="107" t="s">
        <v>213</v>
      </c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27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x14ac:dyDescent="0.25">
      <c r="A26" s="1"/>
      <c r="B26" s="13" t="s">
        <v>54</v>
      </c>
      <c r="C26" s="14">
        <v>1500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x14ac:dyDescent="0.25">
      <c r="A28" s="1"/>
      <c r="B28" s="13" t="s">
        <v>130</v>
      </c>
      <c r="C28" s="14">
        <v>893</v>
      </c>
      <c r="D28" s="1"/>
      <c r="E28" s="1"/>
      <c r="F28" s="1"/>
      <c r="G28" s="1"/>
      <c r="H28" s="1"/>
      <c r="I28" s="3" t="s">
        <v>88</v>
      </c>
      <c r="J28" s="1" t="s">
        <v>157</v>
      </c>
      <c r="K28" s="125">
        <v>35000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4" t="s">
        <v>212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29" t="s">
        <v>88</v>
      </c>
      <c r="J31" s="126" t="s">
        <v>157</v>
      </c>
      <c r="K31" s="127">
        <f>K28/(C26-C28)</f>
        <v>57.660626029654033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4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29" t="s">
        <v>88</v>
      </c>
      <c r="J33" s="126" t="s">
        <v>157</v>
      </c>
      <c r="K33" s="128">
        <f>ROUND(K31,0)</f>
        <v>58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</sheetData>
  <mergeCells count="3">
    <mergeCell ref="B4:C4"/>
    <mergeCell ref="B6:H7"/>
    <mergeCell ref="D4:L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A2504-BCDE-4A49-ACEA-3C212C0577C1}">
  <dimension ref="A1:V63"/>
  <sheetViews>
    <sheetView workbookViewId="0">
      <selection activeCell="F19" sqref="F19"/>
    </sheetView>
  </sheetViews>
  <sheetFormatPr baseColWidth="10" defaultRowHeight="15" x14ac:dyDescent="0.25"/>
  <cols>
    <col min="3" max="3" width="21.5703125" customWidth="1"/>
    <col min="4" max="4" width="12.85546875" customWidth="1"/>
    <col min="5" max="5" width="21.140625" customWidth="1"/>
    <col min="6" max="7" width="24" customWidth="1"/>
  </cols>
  <sheetData>
    <row r="1" spans="1:2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17" t="s">
        <v>62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46" t="s">
        <v>63</v>
      </c>
      <c r="C4" s="15" t="s">
        <v>64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1"/>
      <c r="C5" s="1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46" t="s">
        <v>65</v>
      </c>
      <c r="C6" s="15" t="s">
        <v>66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1"/>
      <c r="C7" s="1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46" t="s">
        <v>67</v>
      </c>
      <c r="C8" s="15" t="s">
        <v>68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1"/>
      <c r="C9" s="1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46" t="s">
        <v>69</v>
      </c>
      <c r="C10" s="15" t="s">
        <v>70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1"/>
      <c r="C11" s="15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46" t="s">
        <v>71</v>
      </c>
      <c r="C12" s="15" t="s">
        <v>72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1"/>
      <c r="C13" s="15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46" t="s">
        <v>73</v>
      </c>
      <c r="C14" s="15" t="s">
        <v>74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1" t="s">
        <v>44</v>
      </c>
      <c r="C17" s="51">
        <v>12000000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1" t="s">
        <v>75</v>
      </c>
      <c r="C18" s="48">
        <v>0.02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1" t="s">
        <v>76</v>
      </c>
      <c r="C19" s="49">
        <v>1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1" t="s">
        <v>77</v>
      </c>
      <c r="C20" s="5">
        <f>C19*12</f>
        <v>12</v>
      </c>
      <c r="D20" s="1"/>
      <c r="E20" s="2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1" t="s">
        <v>78</v>
      </c>
      <c r="C21" s="50">
        <f>PMT(C18,C20,C17)</f>
        <v>-1134715.1594754176</v>
      </c>
      <c r="D21" s="1"/>
      <c r="E21" s="2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1"/>
      <c r="C22" s="1"/>
      <c r="D22" s="1"/>
      <c r="E22" s="2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46" t="s">
        <v>79</v>
      </c>
      <c r="C24" s="46" t="s">
        <v>80</v>
      </c>
      <c r="D24" s="46" t="s">
        <v>81</v>
      </c>
      <c r="E24" s="46" t="s">
        <v>82</v>
      </c>
      <c r="F24" s="46" t="s">
        <v>83</v>
      </c>
      <c r="G24" s="46" t="s">
        <v>84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5">
        <v>0</v>
      </c>
      <c r="C25" s="52"/>
      <c r="D25" s="5"/>
      <c r="E25" s="5"/>
      <c r="F25" s="5"/>
      <c r="G25" s="52">
        <f>+C17</f>
        <v>12000000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5">
        <f>+B25+1</f>
        <v>1</v>
      </c>
      <c r="C26" s="52">
        <f>+G25</f>
        <v>12000000</v>
      </c>
      <c r="D26" s="53">
        <f>-$C$21</f>
        <v>1134715.1594754176</v>
      </c>
      <c r="E26" s="52">
        <f>C26*$C$18</f>
        <v>240000</v>
      </c>
      <c r="F26" s="53">
        <f>D26-E26</f>
        <v>894715.15947541757</v>
      </c>
      <c r="G26" s="52">
        <f>C26-F26</f>
        <v>11105284.840524582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5">
        <f t="shared" ref="B27:B37" si="0">+B26+1</f>
        <v>2</v>
      </c>
      <c r="C27" s="52">
        <f t="shared" ref="C27:C37" si="1">+G26</f>
        <v>11105284.840524582</v>
      </c>
      <c r="D27" s="53">
        <f t="shared" ref="D27:D37" si="2">-$C$21</f>
        <v>1134715.1594754176</v>
      </c>
      <c r="E27" s="52">
        <f t="shared" ref="E27:E37" si="3">C27*$C$18</f>
        <v>222105.69681049165</v>
      </c>
      <c r="F27" s="53">
        <f t="shared" ref="F27:F37" si="4">D27-E27</f>
        <v>912609.46266492596</v>
      </c>
      <c r="G27" s="52">
        <f t="shared" ref="G27:G37" si="5">C27-F27</f>
        <v>10192675.377859656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5">
        <f t="shared" si="0"/>
        <v>3</v>
      </c>
      <c r="C28" s="52">
        <f t="shared" si="1"/>
        <v>10192675.377859656</v>
      </c>
      <c r="D28" s="53">
        <f t="shared" si="2"/>
        <v>1134715.1594754176</v>
      </c>
      <c r="E28" s="52">
        <f t="shared" si="3"/>
        <v>203853.50755719311</v>
      </c>
      <c r="F28" s="53">
        <f t="shared" si="4"/>
        <v>930861.65191822452</v>
      </c>
      <c r="G28" s="52">
        <f t="shared" si="5"/>
        <v>9261813.7259414308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5">
        <f t="shared" si="0"/>
        <v>4</v>
      </c>
      <c r="C29" s="52">
        <f t="shared" si="1"/>
        <v>9261813.7259414308</v>
      </c>
      <c r="D29" s="53">
        <f t="shared" si="2"/>
        <v>1134715.1594754176</v>
      </c>
      <c r="E29" s="52">
        <f t="shared" si="3"/>
        <v>185236.27451882861</v>
      </c>
      <c r="F29" s="53">
        <f t="shared" si="4"/>
        <v>949478.88495658897</v>
      </c>
      <c r="G29" s="52">
        <f t="shared" si="5"/>
        <v>8312334.8409848418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5">
        <f t="shared" si="0"/>
        <v>5</v>
      </c>
      <c r="C30" s="52">
        <f t="shared" si="1"/>
        <v>8312334.8409848418</v>
      </c>
      <c r="D30" s="53">
        <f t="shared" si="2"/>
        <v>1134715.1594754176</v>
      </c>
      <c r="E30" s="52">
        <f t="shared" si="3"/>
        <v>166246.69681969684</v>
      </c>
      <c r="F30" s="53">
        <f t="shared" si="4"/>
        <v>968468.46265572077</v>
      </c>
      <c r="G30" s="52">
        <f t="shared" si="5"/>
        <v>7343866.3783291206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5">
        <f t="shared" si="0"/>
        <v>6</v>
      </c>
      <c r="C31" s="52">
        <f t="shared" si="1"/>
        <v>7343866.3783291206</v>
      </c>
      <c r="D31" s="53">
        <f t="shared" si="2"/>
        <v>1134715.1594754176</v>
      </c>
      <c r="E31" s="52">
        <f t="shared" si="3"/>
        <v>146877.32756658242</v>
      </c>
      <c r="F31" s="53">
        <f t="shared" si="4"/>
        <v>987837.8319088351</v>
      </c>
      <c r="G31" s="52">
        <f t="shared" si="5"/>
        <v>6356028.5464202855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5">
        <f t="shared" si="0"/>
        <v>7</v>
      </c>
      <c r="C32" s="52">
        <f t="shared" si="1"/>
        <v>6356028.5464202855</v>
      </c>
      <c r="D32" s="53">
        <f t="shared" si="2"/>
        <v>1134715.1594754176</v>
      </c>
      <c r="E32" s="52">
        <f t="shared" si="3"/>
        <v>127120.57092840571</v>
      </c>
      <c r="F32" s="53">
        <f t="shared" si="4"/>
        <v>1007594.5885470118</v>
      </c>
      <c r="G32" s="52">
        <f t="shared" si="5"/>
        <v>5348433.9578732736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5">
        <f t="shared" si="0"/>
        <v>8</v>
      </c>
      <c r="C33" s="52">
        <f t="shared" si="1"/>
        <v>5348433.9578732736</v>
      </c>
      <c r="D33" s="53">
        <f t="shared" si="2"/>
        <v>1134715.1594754176</v>
      </c>
      <c r="E33" s="52">
        <f t="shared" si="3"/>
        <v>106968.67915746548</v>
      </c>
      <c r="F33" s="53">
        <f t="shared" si="4"/>
        <v>1027746.4803179521</v>
      </c>
      <c r="G33" s="52">
        <f t="shared" si="5"/>
        <v>4320687.4775553215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25">
      <c r="A34" s="1"/>
      <c r="B34" s="5">
        <f t="shared" si="0"/>
        <v>9</v>
      </c>
      <c r="C34" s="52">
        <f t="shared" si="1"/>
        <v>4320687.4775553215</v>
      </c>
      <c r="D34" s="53">
        <f t="shared" si="2"/>
        <v>1134715.1594754176</v>
      </c>
      <c r="E34" s="52">
        <f t="shared" si="3"/>
        <v>86413.749551106434</v>
      </c>
      <c r="F34" s="53">
        <f t="shared" si="4"/>
        <v>1048301.4099243111</v>
      </c>
      <c r="G34" s="52">
        <f t="shared" si="5"/>
        <v>3272386.0676310104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5">
        <f t="shared" si="0"/>
        <v>10</v>
      </c>
      <c r="C35" s="52">
        <f t="shared" si="1"/>
        <v>3272386.0676310104</v>
      </c>
      <c r="D35" s="53">
        <f t="shared" si="2"/>
        <v>1134715.1594754176</v>
      </c>
      <c r="E35" s="52">
        <f t="shared" si="3"/>
        <v>65447.72135262021</v>
      </c>
      <c r="F35" s="53">
        <f t="shared" si="4"/>
        <v>1069267.4381227973</v>
      </c>
      <c r="G35" s="52">
        <f t="shared" si="5"/>
        <v>2203118.6295082131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5">
        <f t="shared" si="0"/>
        <v>11</v>
      </c>
      <c r="C36" s="52">
        <f t="shared" si="1"/>
        <v>2203118.6295082131</v>
      </c>
      <c r="D36" s="53">
        <f t="shared" si="2"/>
        <v>1134715.1594754176</v>
      </c>
      <c r="E36" s="52">
        <f t="shared" si="3"/>
        <v>44062.372590164261</v>
      </c>
      <c r="F36" s="53">
        <f t="shared" si="4"/>
        <v>1090652.7868852534</v>
      </c>
      <c r="G36" s="52">
        <f t="shared" si="5"/>
        <v>1112465.8426229598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5">
        <f t="shared" si="0"/>
        <v>12</v>
      </c>
      <c r="C37" s="52">
        <f t="shared" si="1"/>
        <v>1112465.8426229598</v>
      </c>
      <c r="D37" s="53">
        <f t="shared" si="2"/>
        <v>1134715.1594754176</v>
      </c>
      <c r="E37" s="52">
        <f t="shared" si="3"/>
        <v>22249.316852459197</v>
      </c>
      <c r="F37" s="53">
        <f t="shared" si="4"/>
        <v>1112465.8426229584</v>
      </c>
      <c r="G37" s="52">
        <f t="shared" si="5"/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1"/>
      <c r="C38" s="1"/>
      <c r="D38" s="1"/>
      <c r="E38" s="1"/>
      <c r="F38" s="1"/>
      <c r="G38" s="2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20"/>
      <c r="C39" s="20"/>
      <c r="D39" s="54">
        <f>SUM(D26:D37)</f>
        <v>13616581.913705012</v>
      </c>
      <c r="E39" s="54">
        <f>SUM(E26:E38)</f>
        <v>1616581.9137050139</v>
      </c>
      <c r="F39" s="54">
        <f>SUM(F26:F38)</f>
        <v>11999999.999999998</v>
      </c>
      <c r="G39" s="5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1"/>
      <c r="C41" s="1"/>
      <c r="D41" s="19">
        <v>13616581.913705012</v>
      </c>
      <c r="E41" s="19">
        <v>1616581.9137050139</v>
      </c>
      <c r="F41" s="19">
        <v>11999999.999999998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33B03-7A9D-4F96-A66E-20E7D28E079D}">
  <dimension ref="A1:AA83"/>
  <sheetViews>
    <sheetView zoomScaleNormal="100" workbookViewId="0">
      <selection activeCell="L10" sqref="L10"/>
    </sheetView>
  </sheetViews>
  <sheetFormatPr baseColWidth="10" defaultRowHeight="15" x14ac:dyDescent="0.25"/>
  <cols>
    <col min="3" max="3" width="14.140625" customWidth="1"/>
    <col min="4" max="4" width="9.28515625" customWidth="1"/>
    <col min="5" max="5" width="15.85546875" customWidth="1"/>
    <col min="6" max="6" width="19" customWidth="1"/>
    <col min="7" max="7" width="15.5703125" customWidth="1"/>
    <col min="8" max="8" width="13.710937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17" t="s">
        <v>57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0" x14ac:dyDescent="0.25">
      <c r="A4" s="1"/>
      <c r="B4" s="159" t="s">
        <v>7</v>
      </c>
      <c r="C4" s="159"/>
      <c r="D4" s="47" t="s">
        <v>6</v>
      </c>
      <c r="E4" s="12" t="s">
        <v>13</v>
      </c>
      <c r="F4" s="12" t="s">
        <v>14</v>
      </c>
      <c r="G4" s="12" t="s">
        <v>15</v>
      </c>
      <c r="H4" s="12" t="s">
        <v>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156" t="s">
        <v>9</v>
      </c>
      <c r="C6" s="41" t="s">
        <v>0</v>
      </c>
      <c r="D6" s="42" t="s">
        <v>16</v>
      </c>
      <c r="E6" s="43">
        <v>25.6</v>
      </c>
      <c r="F6" s="42" t="s">
        <v>19</v>
      </c>
      <c r="G6" s="44">
        <v>4</v>
      </c>
      <c r="H6" s="45">
        <f>E6/G6</f>
        <v>6.4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"/>
      <c r="B7" s="158"/>
      <c r="C7" s="30" t="s">
        <v>1</v>
      </c>
      <c r="D7" s="6" t="s">
        <v>17</v>
      </c>
      <c r="E7" s="8">
        <v>22.5</v>
      </c>
      <c r="F7" s="6" t="s">
        <v>20</v>
      </c>
      <c r="G7" s="10">
        <f>500/5</f>
        <v>100</v>
      </c>
      <c r="H7" s="9">
        <f t="shared" ref="H7:H9" si="0">E7/G7</f>
        <v>0.22500000000000001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x14ac:dyDescent="0.25">
      <c r="A8" s="1"/>
      <c r="B8" s="158"/>
      <c r="C8" s="30" t="s">
        <v>4</v>
      </c>
      <c r="D8" s="6" t="s">
        <v>18</v>
      </c>
      <c r="E8" s="8">
        <v>63.8</v>
      </c>
      <c r="F8" s="6" t="s">
        <v>21</v>
      </c>
      <c r="G8" s="10">
        <f>1000/20</f>
        <v>50</v>
      </c>
      <c r="H8" s="9">
        <f t="shared" si="0"/>
        <v>1.276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x14ac:dyDescent="0.25">
      <c r="A9" s="1"/>
      <c r="B9" s="157"/>
      <c r="C9" s="30" t="s">
        <v>10</v>
      </c>
      <c r="D9" s="6" t="s">
        <v>16</v>
      </c>
      <c r="E9" s="8">
        <v>400</v>
      </c>
      <c r="F9" s="6" t="s">
        <v>26</v>
      </c>
      <c r="G9" s="10">
        <f>1000/10</f>
        <v>100</v>
      </c>
      <c r="H9" s="9">
        <f t="shared" si="0"/>
        <v>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x14ac:dyDescent="0.25">
      <c r="A10" s="1"/>
      <c r="B10" s="1"/>
      <c r="C10" s="15"/>
      <c r="D10" s="4"/>
      <c r="E10" s="1"/>
      <c r="F10" s="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156" t="s">
        <v>11</v>
      </c>
      <c r="C11" s="30" t="s">
        <v>2</v>
      </c>
      <c r="D11" s="6" t="s">
        <v>16</v>
      </c>
      <c r="E11" s="40">
        <f>+'5- Anexar insumos'!C7</f>
        <v>329</v>
      </c>
      <c r="F11" s="6" t="s">
        <v>23</v>
      </c>
      <c r="G11" s="33">
        <f>1000/200</f>
        <v>5</v>
      </c>
      <c r="H11" s="9">
        <f t="shared" ref="H11:H14" si="1">E11/G11</f>
        <v>65.8</v>
      </c>
      <c r="I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158"/>
      <c r="C12" s="30" t="s">
        <v>3</v>
      </c>
      <c r="D12" s="6" t="s">
        <v>16</v>
      </c>
      <c r="E12" s="8">
        <v>630</v>
      </c>
      <c r="F12" s="6" t="s">
        <v>24</v>
      </c>
      <c r="G12" s="10">
        <f>1000/80</f>
        <v>12.5</v>
      </c>
      <c r="H12" s="9">
        <f t="shared" si="1"/>
        <v>50.4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x14ac:dyDescent="0.25">
      <c r="A13" s="1"/>
      <c r="B13" s="158"/>
      <c r="C13" s="30" t="s">
        <v>5</v>
      </c>
      <c r="D13" s="6" t="s">
        <v>16</v>
      </c>
      <c r="E13" s="8">
        <v>120</v>
      </c>
      <c r="F13" s="6" t="s">
        <v>25</v>
      </c>
      <c r="G13" s="10">
        <f>1000/40</f>
        <v>25</v>
      </c>
      <c r="H13" s="9">
        <f t="shared" si="1"/>
        <v>4.8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x14ac:dyDescent="0.25">
      <c r="A14" s="1"/>
      <c r="B14" s="157"/>
      <c r="C14" s="30" t="s">
        <v>12</v>
      </c>
      <c r="D14" s="6" t="s">
        <v>18</v>
      </c>
      <c r="E14" s="8">
        <v>74.5</v>
      </c>
      <c r="F14" s="6" t="s">
        <v>22</v>
      </c>
      <c r="G14" s="10">
        <f>1000/65</f>
        <v>15.384615384615385</v>
      </c>
      <c r="H14" s="9">
        <f t="shared" si="1"/>
        <v>4.8425000000000002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1"/>
      <c r="C16" s="1"/>
      <c r="D16" s="1"/>
      <c r="E16" s="1"/>
      <c r="F16" s="1"/>
      <c r="G16" s="13" t="s">
        <v>27</v>
      </c>
      <c r="H16" s="32">
        <f>SUM(H6:H14)</f>
        <v>137.74350000000001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5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25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0:27" x14ac:dyDescent="0.25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0:27" x14ac:dyDescent="0.25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0:27" x14ac:dyDescent="0.25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</sheetData>
  <mergeCells count="3">
    <mergeCell ref="B4:C4"/>
    <mergeCell ref="B6:B9"/>
    <mergeCell ref="B11:B1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1B948-C4EF-4983-B53C-70DEA6F289C0}">
  <dimension ref="A1:V65"/>
  <sheetViews>
    <sheetView workbookViewId="0">
      <selection activeCell="F19" sqref="F19"/>
    </sheetView>
  </sheetViews>
  <sheetFormatPr baseColWidth="10" defaultRowHeight="15" x14ac:dyDescent="0.25"/>
  <cols>
    <col min="3" max="3" width="22.5703125" bestFit="1" customWidth="1"/>
    <col min="4" max="4" width="10.5703125" bestFit="1" customWidth="1"/>
    <col min="5" max="5" width="12" bestFit="1" customWidth="1"/>
    <col min="6" max="6" width="10.5703125" bestFit="1" customWidth="1"/>
    <col min="7" max="7" width="24" customWidth="1"/>
  </cols>
  <sheetData>
    <row r="1" spans="1:2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17" t="s">
        <v>62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46" t="s">
        <v>85</v>
      </c>
      <c r="C4" s="15" t="s">
        <v>90</v>
      </c>
      <c r="D4" s="55" t="s">
        <v>95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1"/>
      <c r="C5" s="1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46" t="s">
        <v>86</v>
      </c>
      <c r="C6" s="15" t="s">
        <v>91</v>
      </c>
      <c r="D6" s="1"/>
      <c r="E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1"/>
      <c r="C7" s="1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46" t="s">
        <v>87</v>
      </c>
      <c r="C8" s="15" t="s">
        <v>92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1"/>
      <c r="C9" s="1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46" t="s">
        <v>93</v>
      </c>
      <c r="C10" s="15" t="s">
        <v>49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1"/>
      <c r="C11" s="15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46" t="s">
        <v>88</v>
      </c>
      <c r="C12" s="15" t="s">
        <v>94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1"/>
      <c r="C13" s="15"/>
      <c r="D13" s="1"/>
      <c r="E13" s="1"/>
      <c r="F13" s="1"/>
      <c r="G13" s="1"/>
      <c r="H13" s="1"/>
      <c r="I13" s="1"/>
      <c r="J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46" t="s">
        <v>89</v>
      </c>
      <c r="C14" s="15" t="s">
        <v>54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2:7" s="24" customFormat="1" x14ac:dyDescent="0.25">
      <c r="B17" s="24" t="s">
        <v>96</v>
      </c>
      <c r="C17" s="56"/>
    </row>
    <row r="18" spans="2:7" s="24" customFormat="1" x14ac:dyDescent="0.25">
      <c r="B18" s="24" t="s">
        <v>97</v>
      </c>
      <c r="C18" s="57"/>
    </row>
    <row r="19" spans="2:7" s="24" customFormat="1" x14ac:dyDescent="0.25">
      <c r="B19" s="24" t="s">
        <v>98</v>
      </c>
    </row>
    <row r="20" spans="2:7" s="24" customFormat="1" x14ac:dyDescent="0.25">
      <c r="E20" s="58"/>
    </row>
    <row r="21" spans="2:7" s="24" customFormat="1" x14ac:dyDescent="0.25">
      <c r="B21" s="24" t="s">
        <v>99</v>
      </c>
      <c r="C21" s="59"/>
      <c r="E21" s="58"/>
    </row>
    <row r="22" spans="2:7" s="24" customFormat="1" x14ac:dyDescent="0.25">
      <c r="E22" s="58"/>
    </row>
    <row r="23" spans="2:7" s="24" customFormat="1" x14ac:dyDescent="0.25">
      <c r="B23" s="24" t="s">
        <v>100</v>
      </c>
    </row>
    <row r="24" spans="2:7" s="24" customFormat="1" x14ac:dyDescent="0.25">
      <c r="B24" s="60"/>
      <c r="C24" s="60"/>
      <c r="D24" s="60"/>
      <c r="E24" s="60"/>
      <c r="F24" s="60"/>
      <c r="G24" s="60"/>
    </row>
    <row r="25" spans="2:7" s="24" customFormat="1" x14ac:dyDescent="0.25">
      <c r="B25" s="24" t="s">
        <v>101</v>
      </c>
      <c r="C25" s="58"/>
      <c r="G25" s="58"/>
    </row>
    <row r="26" spans="2:7" s="24" customFormat="1" x14ac:dyDescent="0.25">
      <c r="C26" s="58"/>
      <c r="D26" s="61"/>
      <c r="E26" s="58"/>
      <c r="F26" s="61"/>
      <c r="G26" s="58"/>
    </row>
    <row r="27" spans="2:7" s="24" customFormat="1" x14ac:dyDescent="0.25">
      <c r="B27" s="24" t="s">
        <v>102</v>
      </c>
      <c r="C27" s="58"/>
      <c r="D27" s="61"/>
      <c r="E27" s="58"/>
      <c r="F27" s="61"/>
      <c r="G27" s="58"/>
    </row>
    <row r="28" spans="2:7" s="24" customFormat="1" x14ac:dyDescent="0.25">
      <c r="C28" s="58"/>
      <c r="D28" s="61"/>
      <c r="E28" s="58"/>
      <c r="F28" s="61"/>
      <c r="G28" s="58"/>
    </row>
    <row r="29" spans="2:7" s="24" customFormat="1" x14ac:dyDescent="0.25">
      <c r="B29" s="24" t="s">
        <v>103</v>
      </c>
      <c r="C29" s="58"/>
      <c r="D29" s="61"/>
      <c r="E29" s="58"/>
      <c r="F29" s="61"/>
      <c r="G29" s="58"/>
    </row>
    <row r="30" spans="2:7" s="24" customFormat="1" x14ac:dyDescent="0.25">
      <c r="C30" s="58"/>
      <c r="D30" s="61"/>
      <c r="E30" s="58"/>
      <c r="F30" s="61"/>
      <c r="G30" s="58"/>
    </row>
    <row r="31" spans="2:7" s="24" customFormat="1" x14ac:dyDescent="0.25">
      <c r="B31" s="24" t="s">
        <v>104</v>
      </c>
      <c r="C31" s="62">
        <f>15000/(200-100)</f>
        <v>150</v>
      </c>
      <c r="D31" s="61"/>
      <c r="E31" s="58"/>
      <c r="F31" s="61"/>
      <c r="G31" s="58"/>
    </row>
    <row r="32" spans="2:7" s="24" customFormat="1" x14ac:dyDescent="0.25">
      <c r="C32" s="58"/>
      <c r="D32" s="61"/>
      <c r="E32" s="58"/>
      <c r="F32" s="61"/>
      <c r="G32" s="58"/>
    </row>
    <row r="33" spans="1:22" s="24" customFormat="1" x14ac:dyDescent="0.25">
      <c r="C33" s="68" t="s">
        <v>43</v>
      </c>
      <c r="D33" s="67" t="s">
        <v>106</v>
      </c>
      <c r="E33" s="68" t="s">
        <v>107</v>
      </c>
      <c r="F33" s="67" t="s">
        <v>108</v>
      </c>
      <c r="G33" s="58"/>
    </row>
    <row r="34" spans="1:22" s="24" customFormat="1" x14ac:dyDescent="0.25">
      <c r="C34" s="52" t="s">
        <v>94</v>
      </c>
      <c r="D34" s="66"/>
      <c r="E34" s="66">
        <v>150</v>
      </c>
      <c r="F34" s="66"/>
      <c r="G34" s="58"/>
    </row>
    <row r="35" spans="1:22" s="24" customFormat="1" x14ac:dyDescent="0.25">
      <c r="C35" s="52" t="s">
        <v>54</v>
      </c>
      <c r="D35" s="53">
        <v>200</v>
      </c>
      <c r="E35" s="52">
        <v>200</v>
      </c>
      <c r="F35" s="53">
        <v>200</v>
      </c>
      <c r="G35" s="58"/>
    </row>
    <row r="36" spans="1:22" s="24" customFormat="1" x14ac:dyDescent="0.25">
      <c r="C36" s="52" t="s">
        <v>93</v>
      </c>
      <c r="D36" s="53">
        <v>100</v>
      </c>
      <c r="E36" s="52">
        <v>100</v>
      </c>
      <c r="F36" s="53">
        <v>100</v>
      </c>
      <c r="G36" s="58"/>
    </row>
    <row r="37" spans="1:22" s="24" customFormat="1" x14ac:dyDescent="0.25">
      <c r="C37" s="52" t="s">
        <v>105</v>
      </c>
      <c r="D37" s="53">
        <f>D35*D34</f>
        <v>0</v>
      </c>
      <c r="E37" s="53">
        <f t="shared" ref="E37:F37" si="0">E35*E34</f>
        <v>30000</v>
      </c>
      <c r="F37" s="53">
        <f t="shared" si="0"/>
        <v>0</v>
      </c>
      <c r="G37" s="58"/>
    </row>
    <row r="38" spans="1:22" s="24" customFormat="1" x14ac:dyDescent="0.25">
      <c r="C38" s="63" t="s">
        <v>111</v>
      </c>
      <c r="D38" s="64">
        <f>D34*D36</f>
        <v>0</v>
      </c>
      <c r="E38" s="64">
        <f t="shared" ref="E38:F38" si="1">E34*E36</f>
        <v>15000</v>
      </c>
      <c r="F38" s="64">
        <f t="shared" si="1"/>
        <v>0</v>
      </c>
      <c r="G38" s="58"/>
    </row>
    <row r="39" spans="1:22" s="24" customFormat="1" ht="15.75" thickBot="1" x14ac:dyDescent="0.3">
      <c r="C39" s="63" t="s">
        <v>109</v>
      </c>
      <c r="D39" s="64">
        <v>15000</v>
      </c>
      <c r="E39" s="64">
        <v>15000</v>
      </c>
      <c r="F39" s="64">
        <v>15000</v>
      </c>
      <c r="G39" s="58"/>
    </row>
    <row r="40" spans="1:22" s="24" customFormat="1" ht="15.75" thickBot="1" x14ac:dyDescent="0.3">
      <c r="C40" s="69" t="s">
        <v>110</v>
      </c>
      <c r="D40" s="65">
        <f>D37-D39-D38</f>
        <v>-15000</v>
      </c>
      <c r="E40" s="65">
        <f t="shared" ref="E40:F40" si="2">E37-E39-E38</f>
        <v>0</v>
      </c>
      <c r="F40" s="65">
        <f t="shared" si="2"/>
        <v>-15000</v>
      </c>
      <c r="G40" s="58"/>
    </row>
    <row r="41" spans="1:22" s="24" customFormat="1" x14ac:dyDescent="0.25">
      <c r="D41" s="61"/>
      <c r="E41" s="61"/>
      <c r="F41" s="61"/>
      <c r="G41" s="61"/>
    </row>
    <row r="42" spans="1:22" s="24" customFormat="1" x14ac:dyDescent="0.25"/>
    <row r="43" spans="1:22" s="24" customFormat="1" x14ac:dyDescent="0.25">
      <c r="D43" s="56"/>
      <c r="E43" s="56"/>
      <c r="F43" s="56"/>
    </row>
    <row r="44" spans="1:22" s="24" customFormat="1" x14ac:dyDescent="0.25"/>
    <row r="45" spans="1:22" s="24" customFormat="1" x14ac:dyDescent="0.25"/>
    <row r="46" spans="1:22" s="24" customFormat="1" x14ac:dyDescent="0.25"/>
    <row r="47" spans="1:2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</sheetData>
  <conditionalFormatting sqref="D40:F40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04A9D-451F-4368-BE7F-A7A5BC27155D}">
  <dimension ref="A1:V65"/>
  <sheetViews>
    <sheetView zoomScaleNormal="100" workbookViewId="0">
      <selection activeCell="F19" sqref="F19"/>
    </sheetView>
  </sheetViews>
  <sheetFormatPr baseColWidth="10" defaultRowHeight="15" x14ac:dyDescent="0.25"/>
  <cols>
    <col min="3" max="3" width="22.5703125" bestFit="1" customWidth="1"/>
    <col min="4" max="4" width="10.5703125" bestFit="1" customWidth="1"/>
    <col min="5" max="5" width="12" bestFit="1" customWidth="1"/>
    <col min="6" max="6" width="10.5703125" bestFit="1" customWidth="1"/>
    <col min="7" max="7" width="24" customWidth="1"/>
  </cols>
  <sheetData>
    <row r="1" spans="1:2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17" t="s">
        <v>62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46" t="s">
        <v>85</v>
      </c>
      <c r="C4" s="15" t="s">
        <v>90</v>
      </c>
      <c r="D4" s="55" t="s">
        <v>95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1"/>
      <c r="C5" s="1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46" t="s">
        <v>86</v>
      </c>
      <c r="C6" s="15" t="s">
        <v>91</v>
      </c>
      <c r="D6" s="1"/>
      <c r="E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1"/>
      <c r="C7" s="1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46" t="s">
        <v>87</v>
      </c>
      <c r="C8" s="15" t="s">
        <v>92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1"/>
      <c r="C9" s="1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46" t="s">
        <v>93</v>
      </c>
      <c r="C10" s="15" t="s">
        <v>49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1"/>
      <c r="C11" s="15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46" t="s">
        <v>88</v>
      </c>
      <c r="C12" s="15" t="s">
        <v>94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1"/>
      <c r="C13" s="15"/>
      <c r="D13" s="1"/>
      <c r="E13" s="1"/>
      <c r="F13" s="1"/>
      <c r="G13" s="1"/>
      <c r="H13" s="1"/>
      <c r="I13" s="1"/>
      <c r="J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46" t="s">
        <v>89</v>
      </c>
      <c r="C14" s="15" t="s">
        <v>54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2:7" s="24" customFormat="1" x14ac:dyDescent="0.25">
      <c r="B17" s="24" t="s">
        <v>96</v>
      </c>
      <c r="C17" s="56"/>
    </row>
    <row r="18" spans="2:7" s="24" customFormat="1" x14ac:dyDescent="0.25">
      <c r="B18" s="24" t="s">
        <v>97</v>
      </c>
      <c r="C18" s="57"/>
    </row>
    <row r="19" spans="2:7" s="24" customFormat="1" x14ac:dyDescent="0.25">
      <c r="B19" s="24" t="s">
        <v>98</v>
      </c>
    </row>
    <row r="20" spans="2:7" s="24" customFormat="1" x14ac:dyDescent="0.25">
      <c r="E20" s="58"/>
    </row>
    <row r="21" spans="2:7" s="24" customFormat="1" x14ac:dyDescent="0.25">
      <c r="B21" s="24" t="s">
        <v>99</v>
      </c>
      <c r="C21" s="59"/>
      <c r="E21" s="58"/>
    </row>
    <row r="22" spans="2:7" s="24" customFormat="1" x14ac:dyDescent="0.25">
      <c r="E22" s="58"/>
    </row>
    <row r="23" spans="2:7" s="24" customFormat="1" x14ac:dyDescent="0.25">
      <c r="B23" s="24" t="s">
        <v>100</v>
      </c>
      <c r="D23" s="24" t="s">
        <v>151</v>
      </c>
    </row>
    <row r="24" spans="2:7" s="24" customFormat="1" x14ac:dyDescent="0.25">
      <c r="B24" s="60"/>
      <c r="C24" s="60"/>
      <c r="D24" s="24" t="s">
        <v>152</v>
      </c>
      <c r="E24" s="60"/>
      <c r="F24" s="60"/>
      <c r="G24" s="60"/>
    </row>
    <row r="25" spans="2:7" s="24" customFormat="1" x14ac:dyDescent="0.25">
      <c r="B25" s="24" t="s">
        <v>101</v>
      </c>
      <c r="C25" s="58"/>
      <c r="G25" s="58"/>
    </row>
    <row r="26" spans="2:7" s="24" customFormat="1" x14ac:dyDescent="0.25">
      <c r="C26" s="58"/>
      <c r="D26" s="94"/>
      <c r="E26" s="95"/>
      <c r="F26" s="94"/>
      <c r="G26" s="58"/>
    </row>
    <row r="27" spans="2:7" s="24" customFormat="1" x14ac:dyDescent="0.25">
      <c r="B27" s="24" t="s">
        <v>102</v>
      </c>
      <c r="C27" s="58"/>
      <c r="D27" s="96" t="s">
        <v>104</v>
      </c>
      <c r="E27" s="97" t="s">
        <v>109</v>
      </c>
      <c r="F27" s="94"/>
      <c r="G27" s="58"/>
    </row>
    <row r="28" spans="2:7" s="24" customFormat="1" x14ac:dyDescent="0.25">
      <c r="C28" s="58"/>
      <c r="D28" s="94"/>
      <c r="E28" s="95" t="s">
        <v>150</v>
      </c>
      <c r="F28" s="94"/>
      <c r="G28" s="58"/>
    </row>
    <row r="29" spans="2:7" s="24" customFormat="1" x14ac:dyDescent="0.25">
      <c r="B29" s="24" t="s">
        <v>103</v>
      </c>
      <c r="C29" s="58"/>
      <c r="D29" s="94"/>
      <c r="E29" s="95"/>
      <c r="F29" s="94"/>
      <c r="G29" s="58"/>
    </row>
    <row r="30" spans="2:7" s="24" customFormat="1" x14ac:dyDescent="0.25">
      <c r="C30" s="58"/>
      <c r="D30" s="61"/>
      <c r="E30" s="58"/>
      <c r="F30" s="61"/>
      <c r="G30" s="58"/>
    </row>
    <row r="31" spans="2:7" s="24" customFormat="1" x14ac:dyDescent="0.25">
      <c r="B31" s="24" t="s">
        <v>104</v>
      </c>
      <c r="C31" s="62">
        <f>15000/(200-100)</f>
        <v>150</v>
      </c>
      <c r="D31" s="61"/>
      <c r="E31" s="58"/>
      <c r="F31" s="61"/>
      <c r="G31" s="58"/>
    </row>
    <row r="32" spans="2:7" s="24" customFormat="1" x14ac:dyDescent="0.25">
      <c r="C32" s="58"/>
      <c r="D32" s="61"/>
      <c r="E32" s="58"/>
      <c r="F32" s="61"/>
      <c r="G32" s="58"/>
    </row>
    <row r="33" spans="1:22" s="24" customFormat="1" x14ac:dyDescent="0.25">
      <c r="C33" s="68" t="s">
        <v>43</v>
      </c>
      <c r="D33" s="67" t="s">
        <v>106</v>
      </c>
      <c r="E33" s="68" t="s">
        <v>107</v>
      </c>
      <c r="F33" s="67" t="s">
        <v>108</v>
      </c>
      <c r="G33" s="58"/>
    </row>
    <row r="34" spans="1:22" s="24" customFormat="1" x14ac:dyDescent="0.25">
      <c r="C34" s="52" t="s">
        <v>94</v>
      </c>
      <c r="D34" s="66">
        <v>70</v>
      </c>
      <c r="E34" s="66">
        <v>150</v>
      </c>
      <c r="F34" s="66">
        <v>250</v>
      </c>
      <c r="G34" s="58"/>
    </row>
    <row r="35" spans="1:22" s="24" customFormat="1" x14ac:dyDescent="0.25">
      <c r="C35" s="52" t="s">
        <v>54</v>
      </c>
      <c r="D35" s="53">
        <v>200</v>
      </c>
      <c r="E35" s="52">
        <v>200</v>
      </c>
      <c r="F35" s="53">
        <v>200</v>
      </c>
      <c r="G35" s="58"/>
    </row>
    <row r="36" spans="1:22" s="24" customFormat="1" x14ac:dyDescent="0.25">
      <c r="C36" s="52" t="s">
        <v>93</v>
      </c>
      <c r="D36" s="53">
        <v>100</v>
      </c>
      <c r="E36" s="52">
        <v>100</v>
      </c>
      <c r="F36" s="53">
        <v>100</v>
      </c>
      <c r="G36" s="58"/>
    </row>
    <row r="37" spans="1:22" s="24" customFormat="1" x14ac:dyDescent="0.25">
      <c r="C37" s="52" t="s">
        <v>105</v>
      </c>
      <c r="D37" s="53">
        <f>D34*D35</f>
        <v>14000</v>
      </c>
      <c r="E37" s="53">
        <f>E34*E35</f>
        <v>30000</v>
      </c>
      <c r="F37" s="53">
        <f>F34*F35</f>
        <v>50000</v>
      </c>
      <c r="G37" s="58"/>
    </row>
    <row r="38" spans="1:22" s="24" customFormat="1" x14ac:dyDescent="0.25">
      <c r="C38" s="63" t="s">
        <v>111</v>
      </c>
      <c r="D38" s="64">
        <f>D34*D36</f>
        <v>7000</v>
      </c>
      <c r="E38" s="64">
        <f>E34*E36</f>
        <v>15000</v>
      </c>
      <c r="F38" s="64">
        <f t="shared" ref="F38" si="0">F34*F36</f>
        <v>25000</v>
      </c>
      <c r="G38" s="58"/>
    </row>
    <row r="39" spans="1:22" s="24" customFormat="1" ht="15.75" thickBot="1" x14ac:dyDescent="0.3">
      <c r="C39" s="63" t="s">
        <v>109</v>
      </c>
      <c r="D39" s="64">
        <v>15000</v>
      </c>
      <c r="E39" s="64">
        <v>15000</v>
      </c>
      <c r="F39" s="64">
        <v>15000</v>
      </c>
      <c r="G39" s="58"/>
    </row>
    <row r="40" spans="1:22" s="24" customFormat="1" ht="15.75" thickBot="1" x14ac:dyDescent="0.3">
      <c r="C40" s="69" t="s">
        <v>110</v>
      </c>
      <c r="D40" s="65">
        <f>D37-D39-D38</f>
        <v>-8000</v>
      </c>
      <c r="E40" s="65">
        <f t="shared" ref="E40:F40" si="1">E37-E39-E38</f>
        <v>0</v>
      </c>
      <c r="F40" s="65">
        <f t="shared" si="1"/>
        <v>10000</v>
      </c>
      <c r="G40" s="58"/>
    </row>
    <row r="41" spans="1:22" s="24" customFormat="1" x14ac:dyDescent="0.25">
      <c r="D41" s="61"/>
      <c r="E41" s="61"/>
      <c r="F41" s="61"/>
      <c r="G41" s="61"/>
    </row>
    <row r="42" spans="1:22" s="24" customFormat="1" x14ac:dyDescent="0.25"/>
    <row r="43" spans="1:22" s="24" customFormat="1" x14ac:dyDescent="0.25">
      <c r="C43" s="24" t="s">
        <v>153</v>
      </c>
      <c r="D43" s="56"/>
      <c r="E43" s="56"/>
      <c r="F43" s="56"/>
    </row>
    <row r="44" spans="1:22" s="24" customFormat="1" x14ac:dyDescent="0.25"/>
    <row r="45" spans="1:22" s="24" customFormat="1" x14ac:dyDescent="0.25"/>
    <row r="46" spans="1:22" s="24" customFormat="1" x14ac:dyDescent="0.25"/>
    <row r="47" spans="1:2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</sheetData>
  <conditionalFormatting sqref="D40:F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F121C-0654-4FD1-9F57-0706EC8F3D8E}">
  <dimension ref="A1:AB183"/>
  <sheetViews>
    <sheetView zoomScaleNormal="100" workbookViewId="0">
      <selection activeCell="F19" sqref="F19"/>
    </sheetView>
  </sheetViews>
  <sheetFormatPr baseColWidth="10" defaultRowHeight="15" x14ac:dyDescent="0.25"/>
  <cols>
    <col min="2" max="2" width="20.42578125" customWidth="1"/>
    <col min="4" max="4" width="14.7109375" bestFit="1" customWidth="1"/>
    <col min="5" max="5" width="21.42578125" bestFit="1" customWidth="1"/>
    <col min="6" max="6" width="15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7" t="s">
        <v>123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82" t="s">
        <v>112</v>
      </c>
      <c r="C4" s="8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84" t="s">
        <v>113</v>
      </c>
      <c r="C5" s="85" t="s">
        <v>114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84" t="s">
        <v>37</v>
      </c>
      <c r="C6" s="86">
        <v>5000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84" t="s">
        <v>127</v>
      </c>
      <c r="C7" s="86">
        <v>10000</v>
      </c>
      <c r="D7" s="1"/>
      <c r="E7" s="82" t="s">
        <v>115</v>
      </c>
      <c r="F7" s="99">
        <f>C9/(C18-C16)</f>
        <v>86.956521739130437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84" t="s">
        <v>128</v>
      </c>
      <c r="C8" s="86">
        <v>5000</v>
      </c>
      <c r="D8" s="1"/>
      <c r="E8" s="1"/>
      <c r="F8" s="100">
        <f>F7/23</f>
        <v>3.7807183364839321</v>
      </c>
      <c r="G8" s="1"/>
      <c r="H8" s="1" t="s">
        <v>154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87" t="s">
        <v>116</v>
      </c>
      <c r="C9" s="86">
        <f>SUM(C6:C8)</f>
        <v>20000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4"/>
      <c r="D10" s="1"/>
      <c r="E10" s="82" t="s">
        <v>117</v>
      </c>
      <c r="F10" s="98">
        <f>F7*C18</f>
        <v>34782.608695652176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95" t="s">
        <v>118</v>
      </c>
      <c r="C11" s="195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84" t="s">
        <v>113</v>
      </c>
      <c r="C12" s="85" t="s">
        <v>114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84" t="s">
        <v>124</v>
      </c>
      <c r="C13" s="86">
        <v>90</v>
      </c>
      <c r="D13" s="1"/>
      <c r="E13" s="1"/>
      <c r="F13" s="4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84" t="s">
        <v>125</v>
      </c>
      <c r="C14" s="86">
        <v>10</v>
      </c>
      <c r="D14" s="1"/>
      <c r="E14" s="1"/>
      <c r="F14" s="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84" t="s">
        <v>126</v>
      </c>
      <c r="C15" s="86">
        <v>70</v>
      </c>
      <c r="D15" s="1"/>
      <c r="E15" s="1"/>
      <c r="F15" s="4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87" t="s">
        <v>129</v>
      </c>
      <c r="C16" s="86">
        <f>SUM(C13:C15)</f>
        <v>170</v>
      </c>
      <c r="D16" s="1"/>
      <c r="E16" s="1"/>
      <c r="F16" s="4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3"/>
      <c r="C17" s="4"/>
      <c r="D17" s="1"/>
      <c r="E17" s="1"/>
      <c r="F17" s="4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75" t="s">
        <v>119</v>
      </c>
      <c r="C18" s="76">
        <v>400</v>
      </c>
      <c r="D18" s="1"/>
      <c r="E18" s="1"/>
      <c r="F18" s="4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3"/>
      <c r="C19" s="4"/>
      <c r="D19" s="1"/>
      <c r="E19" s="1"/>
      <c r="F19" s="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3"/>
      <c r="C20" s="4"/>
      <c r="D20" s="1"/>
      <c r="E20" s="1"/>
      <c r="F20" s="4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3"/>
      <c r="C21" s="4"/>
      <c r="D21" s="1"/>
      <c r="E21" s="1"/>
      <c r="F21" s="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3"/>
      <c r="C22" s="4"/>
      <c r="D22" s="1"/>
      <c r="E22" s="1"/>
      <c r="F22" s="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3"/>
      <c r="C23" s="4"/>
      <c r="D23" s="1"/>
      <c r="E23" s="1"/>
      <c r="F23" s="4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3"/>
      <c r="C24" s="4"/>
      <c r="D24" s="1"/>
      <c r="E24" s="1"/>
      <c r="F24" s="4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.75" thickBot="1" x14ac:dyDescent="0.3">
      <c r="A25" s="1"/>
      <c r="B25" s="1"/>
      <c r="C25" s="1"/>
      <c r="D25" s="1"/>
      <c r="E25" s="1"/>
      <c r="F25" s="4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77" t="s">
        <v>120</v>
      </c>
      <c r="C26" s="78" t="s">
        <v>121</v>
      </c>
      <c r="D26" s="79" t="s">
        <v>122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80">
        <v>0</v>
      </c>
      <c r="C27" s="5">
        <f>$C$9+$C$16*B27</f>
        <v>20000</v>
      </c>
      <c r="D27" s="81">
        <f>$C$18*B27</f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80">
        <v>1</v>
      </c>
      <c r="C28" s="5">
        <f t="shared" ref="C28:C91" si="0">$C$9+$C$16*B28</f>
        <v>20170</v>
      </c>
      <c r="D28" s="81">
        <f t="shared" ref="D28:D91" si="1">$C$18*B28</f>
        <v>400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80">
        <v>2</v>
      </c>
      <c r="C29" s="5">
        <f t="shared" si="0"/>
        <v>20340</v>
      </c>
      <c r="D29" s="81">
        <f t="shared" si="1"/>
        <v>800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80">
        <v>3</v>
      </c>
      <c r="C30" s="5">
        <f t="shared" si="0"/>
        <v>20510</v>
      </c>
      <c r="D30" s="81">
        <f t="shared" si="1"/>
        <v>1200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80">
        <v>4</v>
      </c>
      <c r="C31" s="5">
        <f t="shared" si="0"/>
        <v>20680</v>
      </c>
      <c r="D31" s="81">
        <f t="shared" si="1"/>
        <v>1600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80">
        <v>5</v>
      </c>
      <c r="C32" s="5">
        <f t="shared" si="0"/>
        <v>20850</v>
      </c>
      <c r="D32" s="81">
        <f t="shared" si="1"/>
        <v>2000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80">
        <v>6</v>
      </c>
      <c r="C33" s="5">
        <f t="shared" si="0"/>
        <v>21020</v>
      </c>
      <c r="D33" s="81">
        <f t="shared" si="1"/>
        <v>2400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80">
        <v>7</v>
      </c>
      <c r="C34" s="5">
        <f t="shared" si="0"/>
        <v>21190</v>
      </c>
      <c r="D34" s="81">
        <f t="shared" si="1"/>
        <v>2800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80">
        <v>8</v>
      </c>
      <c r="C35" s="5">
        <f t="shared" si="0"/>
        <v>21360</v>
      </c>
      <c r="D35" s="81">
        <f t="shared" si="1"/>
        <v>3200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80">
        <v>9</v>
      </c>
      <c r="C36" s="5">
        <f t="shared" si="0"/>
        <v>21530</v>
      </c>
      <c r="D36" s="81">
        <f t="shared" si="1"/>
        <v>3600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80">
        <v>10</v>
      </c>
      <c r="C37" s="5">
        <f t="shared" si="0"/>
        <v>21700</v>
      </c>
      <c r="D37" s="81">
        <f t="shared" si="1"/>
        <v>4000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80">
        <v>11</v>
      </c>
      <c r="C38" s="5">
        <f t="shared" si="0"/>
        <v>21870</v>
      </c>
      <c r="D38" s="81">
        <f t="shared" si="1"/>
        <v>4400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80">
        <v>12</v>
      </c>
      <c r="C39" s="5">
        <f t="shared" si="0"/>
        <v>22040</v>
      </c>
      <c r="D39" s="81">
        <f t="shared" si="1"/>
        <v>4800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80">
        <v>13</v>
      </c>
      <c r="C40" s="5">
        <f t="shared" si="0"/>
        <v>22210</v>
      </c>
      <c r="D40" s="81">
        <f t="shared" si="1"/>
        <v>5200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x14ac:dyDescent="0.25">
      <c r="A41" s="1"/>
      <c r="B41" s="80">
        <v>14</v>
      </c>
      <c r="C41" s="5">
        <f t="shared" si="0"/>
        <v>22380</v>
      </c>
      <c r="D41" s="81">
        <f t="shared" si="1"/>
        <v>5600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x14ac:dyDescent="0.25">
      <c r="A42" s="1"/>
      <c r="B42" s="80">
        <v>15</v>
      </c>
      <c r="C42" s="5">
        <f t="shared" si="0"/>
        <v>22550</v>
      </c>
      <c r="D42" s="81">
        <f t="shared" si="1"/>
        <v>6000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x14ac:dyDescent="0.25">
      <c r="A43" s="1"/>
      <c r="B43" s="80">
        <v>16</v>
      </c>
      <c r="C43" s="5">
        <f t="shared" si="0"/>
        <v>22720</v>
      </c>
      <c r="D43" s="81">
        <f t="shared" si="1"/>
        <v>6400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x14ac:dyDescent="0.25">
      <c r="A44" s="1"/>
      <c r="B44" s="80">
        <v>17</v>
      </c>
      <c r="C44" s="5">
        <f t="shared" si="0"/>
        <v>22890</v>
      </c>
      <c r="D44" s="81">
        <f t="shared" si="1"/>
        <v>6800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x14ac:dyDescent="0.25">
      <c r="A45" s="1"/>
      <c r="B45" s="80">
        <v>18</v>
      </c>
      <c r="C45" s="5">
        <f t="shared" si="0"/>
        <v>23060</v>
      </c>
      <c r="D45" s="81">
        <f t="shared" si="1"/>
        <v>7200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x14ac:dyDescent="0.25">
      <c r="A46" s="1"/>
      <c r="B46" s="80">
        <v>19</v>
      </c>
      <c r="C46" s="5">
        <f t="shared" si="0"/>
        <v>23230</v>
      </c>
      <c r="D46" s="81">
        <f t="shared" si="1"/>
        <v>7600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x14ac:dyDescent="0.25">
      <c r="A47" s="1"/>
      <c r="B47" s="80">
        <v>20</v>
      </c>
      <c r="C47" s="5">
        <f t="shared" si="0"/>
        <v>23400</v>
      </c>
      <c r="D47" s="81">
        <f t="shared" si="1"/>
        <v>8000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x14ac:dyDescent="0.25">
      <c r="A48" s="1"/>
      <c r="B48" s="80">
        <v>21</v>
      </c>
      <c r="C48" s="5">
        <f t="shared" si="0"/>
        <v>23570</v>
      </c>
      <c r="D48" s="81">
        <f t="shared" si="1"/>
        <v>8400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x14ac:dyDescent="0.25">
      <c r="A49" s="1"/>
      <c r="B49" s="80">
        <v>22</v>
      </c>
      <c r="C49" s="5">
        <f t="shared" si="0"/>
        <v>23740</v>
      </c>
      <c r="D49" s="81">
        <f t="shared" si="1"/>
        <v>8800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x14ac:dyDescent="0.25">
      <c r="A50" s="1"/>
      <c r="B50" s="80">
        <v>23</v>
      </c>
      <c r="C50" s="5">
        <f t="shared" si="0"/>
        <v>23910</v>
      </c>
      <c r="D50" s="81">
        <f t="shared" si="1"/>
        <v>9200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x14ac:dyDescent="0.25">
      <c r="A51" s="1"/>
      <c r="B51" s="80">
        <v>24</v>
      </c>
      <c r="C51" s="5">
        <f t="shared" si="0"/>
        <v>24080</v>
      </c>
      <c r="D51" s="81">
        <f t="shared" si="1"/>
        <v>9600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x14ac:dyDescent="0.25">
      <c r="A52" s="1"/>
      <c r="B52" s="80">
        <v>25</v>
      </c>
      <c r="C52" s="5">
        <f t="shared" si="0"/>
        <v>24250</v>
      </c>
      <c r="D52" s="81">
        <f t="shared" si="1"/>
        <v>10000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x14ac:dyDescent="0.25">
      <c r="A53" s="1"/>
      <c r="B53" s="80">
        <v>26</v>
      </c>
      <c r="C53" s="5">
        <f t="shared" si="0"/>
        <v>24420</v>
      </c>
      <c r="D53" s="81">
        <f t="shared" si="1"/>
        <v>10400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x14ac:dyDescent="0.25">
      <c r="B54" s="71">
        <v>27</v>
      </c>
      <c r="C54" s="73">
        <f t="shared" si="0"/>
        <v>24590</v>
      </c>
      <c r="D54" s="74">
        <f t="shared" si="1"/>
        <v>10800</v>
      </c>
    </row>
    <row r="55" spans="1:28" x14ac:dyDescent="0.25">
      <c r="B55" s="71">
        <v>28</v>
      </c>
      <c r="C55" s="73">
        <f t="shared" si="0"/>
        <v>24760</v>
      </c>
      <c r="D55" s="74">
        <f t="shared" si="1"/>
        <v>11200</v>
      </c>
    </row>
    <row r="56" spans="1:28" x14ac:dyDescent="0.25">
      <c r="B56" s="71">
        <v>29</v>
      </c>
      <c r="C56" s="73">
        <f t="shared" si="0"/>
        <v>24930</v>
      </c>
      <c r="D56" s="74">
        <f t="shared" si="1"/>
        <v>11600</v>
      </c>
    </row>
    <row r="57" spans="1:28" x14ac:dyDescent="0.25">
      <c r="B57" s="71">
        <v>30</v>
      </c>
      <c r="C57" s="73">
        <f t="shared" si="0"/>
        <v>25100</v>
      </c>
      <c r="D57" s="74">
        <f t="shared" si="1"/>
        <v>12000</v>
      </c>
    </row>
    <row r="58" spans="1:28" x14ac:dyDescent="0.25">
      <c r="B58" s="71">
        <v>31</v>
      </c>
      <c r="C58" s="73">
        <f t="shared" si="0"/>
        <v>25270</v>
      </c>
      <c r="D58" s="74">
        <f t="shared" si="1"/>
        <v>12400</v>
      </c>
    </row>
    <row r="59" spans="1:28" x14ac:dyDescent="0.25">
      <c r="B59" s="71">
        <v>32</v>
      </c>
      <c r="C59" s="73">
        <f t="shared" si="0"/>
        <v>25440</v>
      </c>
      <c r="D59" s="74">
        <f t="shared" si="1"/>
        <v>12800</v>
      </c>
    </row>
    <row r="60" spans="1:28" x14ac:dyDescent="0.25">
      <c r="B60" s="71">
        <v>33</v>
      </c>
      <c r="C60" s="73">
        <f t="shared" si="0"/>
        <v>25610</v>
      </c>
      <c r="D60" s="74">
        <f t="shared" si="1"/>
        <v>13200</v>
      </c>
    </row>
    <row r="61" spans="1:28" x14ac:dyDescent="0.25">
      <c r="B61" s="71">
        <v>34</v>
      </c>
      <c r="C61" s="73">
        <f t="shared" si="0"/>
        <v>25780</v>
      </c>
      <c r="D61" s="74">
        <f t="shared" si="1"/>
        <v>13600</v>
      </c>
    </row>
    <row r="62" spans="1:28" x14ac:dyDescent="0.25">
      <c r="B62" s="71">
        <v>35</v>
      </c>
      <c r="C62" s="73">
        <f t="shared" si="0"/>
        <v>25950</v>
      </c>
      <c r="D62" s="74">
        <f t="shared" si="1"/>
        <v>14000</v>
      </c>
    </row>
    <row r="63" spans="1:28" x14ac:dyDescent="0.25">
      <c r="B63" s="71">
        <v>36</v>
      </c>
      <c r="C63" s="73">
        <f t="shared" si="0"/>
        <v>26120</v>
      </c>
      <c r="D63" s="74">
        <f t="shared" si="1"/>
        <v>14400</v>
      </c>
    </row>
    <row r="64" spans="1:28" x14ac:dyDescent="0.25">
      <c r="B64" s="71">
        <v>37</v>
      </c>
      <c r="C64" s="73">
        <f t="shared" si="0"/>
        <v>26290</v>
      </c>
      <c r="D64" s="74">
        <f t="shared" si="1"/>
        <v>14800</v>
      </c>
    </row>
    <row r="65" spans="2:4" x14ac:dyDescent="0.25">
      <c r="B65" s="71">
        <v>38</v>
      </c>
      <c r="C65" s="73">
        <f t="shared" si="0"/>
        <v>26460</v>
      </c>
      <c r="D65" s="74">
        <f t="shared" si="1"/>
        <v>15200</v>
      </c>
    </row>
    <row r="66" spans="2:4" x14ac:dyDescent="0.25">
      <c r="B66" s="71">
        <v>39</v>
      </c>
      <c r="C66" s="73">
        <f t="shared" si="0"/>
        <v>26630</v>
      </c>
      <c r="D66" s="74">
        <f t="shared" si="1"/>
        <v>15600</v>
      </c>
    </row>
    <row r="67" spans="2:4" x14ac:dyDescent="0.25">
      <c r="B67" s="71">
        <v>40</v>
      </c>
      <c r="C67" s="73">
        <f t="shared" si="0"/>
        <v>26800</v>
      </c>
      <c r="D67" s="74">
        <f t="shared" si="1"/>
        <v>16000</v>
      </c>
    </row>
    <row r="68" spans="2:4" x14ac:dyDescent="0.25">
      <c r="B68" s="71">
        <v>41</v>
      </c>
      <c r="C68" s="73">
        <f t="shared" si="0"/>
        <v>26970</v>
      </c>
      <c r="D68" s="74">
        <f t="shared" si="1"/>
        <v>16400</v>
      </c>
    </row>
    <row r="69" spans="2:4" x14ac:dyDescent="0.25">
      <c r="B69" s="71">
        <v>42</v>
      </c>
      <c r="C69" s="73">
        <f t="shared" si="0"/>
        <v>27140</v>
      </c>
      <c r="D69" s="74">
        <f t="shared" si="1"/>
        <v>16800</v>
      </c>
    </row>
    <row r="70" spans="2:4" x14ac:dyDescent="0.25">
      <c r="B70" s="71">
        <v>43</v>
      </c>
      <c r="C70" s="73">
        <f t="shared" si="0"/>
        <v>27310</v>
      </c>
      <c r="D70" s="74">
        <f t="shared" si="1"/>
        <v>17200</v>
      </c>
    </row>
    <row r="71" spans="2:4" x14ac:dyDescent="0.25">
      <c r="B71" s="71">
        <v>44</v>
      </c>
      <c r="C71" s="73">
        <f t="shared" si="0"/>
        <v>27480</v>
      </c>
      <c r="D71" s="74">
        <f t="shared" si="1"/>
        <v>17600</v>
      </c>
    </row>
    <row r="72" spans="2:4" x14ac:dyDescent="0.25">
      <c r="B72" s="71">
        <v>45</v>
      </c>
      <c r="C72" s="73">
        <f t="shared" si="0"/>
        <v>27650</v>
      </c>
      <c r="D72" s="74">
        <f t="shared" si="1"/>
        <v>18000</v>
      </c>
    </row>
    <row r="73" spans="2:4" x14ac:dyDescent="0.25">
      <c r="B73" s="71">
        <v>46</v>
      </c>
      <c r="C73" s="73">
        <f t="shared" si="0"/>
        <v>27820</v>
      </c>
      <c r="D73" s="74">
        <f t="shared" si="1"/>
        <v>18400</v>
      </c>
    </row>
    <row r="74" spans="2:4" x14ac:dyDescent="0.25">
      <c r="B74" s="71">
        <v>47</v>
      </c>
      <c r="C74" s="73">
        <f t="shared" si="0"/>
        <v>27990</v>
      </c>
      <c r="D74" s="74">
        <f t="shared" si="1"/>
        <v>18800</v>
      </c>
    </row>
    <row r="75" spans="2:4" x14ac:dyDescent="0.25">
      <c r="B75" s="71">
        <v>48</v>
      </c>
      <c r="C75" s="73">
        <f t="shared" si="0"/>
        <v>28160</v>
      </c>
      <c r="D75" s="74">
        <f t="shared" si="1"/>
        <v>19200</v>
      </c>
    </row>
    <row r="76" spans="2:4" x14ac:dyDescent="0.25">
      <c r="B76" s="71">
        <v>49</v>
      </c>
      <c r="C76" s="73">
        <f t="shared" si="0"/>
        <v>28330</v>
      </c>
      <c r="D76" s="74">
        <f t="shared" si="1"/>
        <v>19600</v>
      </c>
    </row>
    <row r="77" spans="2:4" x14ac:dyDescent="0.25">
      <c r="B77" s="71">
        <v>50</v>
      </c>
      <c r="C77" s="73">
        <f t="shared" si="0"/>
        <v>28500</v>
      </c>
      <c r="D77" s="74">
        <f t="shared" si="1"/>
        <v>20000</v>
      </c>
    </row>
    <row r="78" spans="2:4" x14ac:dyDescent="0.25">
      <c r="B78" s="71">
        <v>51</v>
      </c>
      <c r="C78" s="73">
        <f t="shared" si="0"/>
        <v>28670</v>
      </c>
      <c r="D78" s="74">
        <f t="shared" si="1"/>
        <v>20400</v>
      </c>
    </row>
    <row r="79" spans="2:4" x14ac:dyDescent="0.25">
      <c r="B79" s="71">
        <v>52</v>
      </c>
      <c r="C79" s="73">
        <f t="shared" si="0"/>
        <v>28840</v>
      </c>
      <c r="D79" s="74">
        <f t="shared" si="1"/>
        <v>20800</v>
      </c>
    </row>
    <row r="80" spans="2:4" x14ac:dyDescent="0.25">
      <c r="B80" s="71">
        <v>53</v>
      </c>
      <c r="C80" s="73">
        <f t="shared" si="0"/>
        <v>29010</v>
      </c>
      <c r="D80" s="74">
        <f t="shared" si="1"/>
        <v>21200</v>
      </c>
    </row>
    <row r="81" spans="2:4" x14ac:dyDescent="0.25">
      <c r="B81" s="71">
        <v>54</v>
      </c>
      <c r="C81" s="73">
        <f t="shared" si="0"/>
        <v>29180</v>
      </c>
      <c r="D81" s="74">
        <f t="shared" si="1"/>
        <v>21600</v>
      </c>
    </row>
    <row r="82" spans="2:4" x14ac:dyDescent="0.25">
      <c r="B82" s="71">
        <v>55</v>
      </c>
      <c r="C82" s="73">
        <f t="shared" si="0"/>
        <v>29350</v>
      </c>
      <c r="D82" s="74">
        <f t="shared" si="1"/>
        <v>22000</v>
      </c>
    </row>
    <row r="83" spans="2:4" x14ac:dyDescent="0.25">
      <c r="B83" s="71">
        <v>56</v>
      </c>
      <c r="C83" s="73">
        <f t="shared" si="0"/>
        <v>29520</v>
      </c>
      <c r="D83" s="74">
        <f t="shared" si="1"/>
        <v>22400</v>
      </c>
    </row>
    <row r="84" spans="2:4" x14ac:dyDescent="0.25">
      <c r="B84" s="71">
        <v>57</v>
      </c>
      <c r="C84" s="73">
        <f t="shared" si="0"/>
        <v>29690</v>
      </c>
      <c r="D84" s="74">
        <f t="shared" si="1"/>
        <v>22800</v>
      </c>
    </row>
    <row r="85" spans="2:4" x14ac:dyDescent="0.25">
      <c r="B85" s="71">
        <v>58</v>
      </c>
      <c r="C85" s="73">
        <f t="shared" si="0"/>
        <v>29860</v>
      </c>
      <c r="D85" s="74">
        <f t="shared" si="1"/>
        <v>23200</v>
      </c>
    </row>
    <row r="86" spans="2:4" x14ac:dyDescent="0.25">
      <c r="B86" s="71">
        <v>59</v>
      </c>
      <c r="C86" s="73">
        <f t="shared" si="0"/>
        <v>30030</v>
      </c>
      <c r="D86" s="74">
        <f t="shared" si="1"/>
        <v>23600</v>
      </c>
    </row>
    <row r="87" spans="2:4" x14ac:dyDescent="0.25">
      <c r="B87" s="71">
        <v>60</v>
      </c>
      <c r="C87" s="73">
        <f t="shared" si="0"/>
        <v>30200</v>
      </c>
      <c r="D87" s="74">
        <f t="shared" si="1"/>
        <v>24000</v>
      </c>
    </row>
    <row r="88" spans="2:4" x14ac:dyDescent="0.25">
      <c r="B88" s="71">
        <v>61</v>
      </c>
      <c r="C88" s="73">
        <f t="shared" si="0"/>
        <v>30370</v>
      </c>
      <c r="D88" s="74">
        <f t="shared" si="1"/>
        <v>24400</v>
      </c>
    </row>
    <row r="89" spans="2:4" x14ac:dyDescent="0.25">
      <c r="B89" s="71">
        <v>62</v>
      </c>
      <c r="C89" s="73">
        <f t="shared" si="0"/>
        <v>30540</v>
      </c>
      <c r="D89" s="74">
        <f t="shared" si="1"/>
        <v>24800</v>
      </c>
    </row>
    <row r="90" spans="2:4" x14ac:dyDescent="0.25">
      <c r="B90" s="71">
        <v>63</v>
      </c>
      <c r="C90" s="73">
        <f t="shared" si="0"/>
        <v>30710</v>
      </c>
      <c r="D90" s="74">
        <f t="shared" si="1"/>
        <v>25200</v>
      </c>
    </row>
    <row r="91" spans="2:4" x14ac:dyDescent="0.25">
      <c r="B91" s="71">
        <v>64</v>
      </c>
      <c r="C91" s="73">
        <f t="shared" si="0"/>
        <v>30880</v>
      </c>
      <c r="D91" s="74">
        <f t="shared" si="1"/>
        <v>25600</v>
      </c>
    </row>
    <row r="92" spans="2:4" x14ac:dyDescent="0.25">
      <c r="B92" s="71">
        <v>65</v>
      </c>
      <c r="C92" s="73">
        <f t="shared" ref="C92:C155" si="2">$C$9+$C$16*B92</f>
        <v>31050</v>
      </c>
      <c r="D92" s="74">
        <f t="shared" ref="D92:D155" si="3">$C$18*B92</f>
        <v>26000</v>
      </c>
    </row>
    <row r="93" spans="2:4" x14ac:dyDescent="0.25">
      <c r="B93" s="71">
        <v>66</v>
      </c>
      <c r="C93" s="73">
        <f t="shared" si="2"/>
        <v>31220</v>
      </c>
      <c r="D93" s="74">
        <f t="shared" si="3"/>
        <v>26400</v>
      </c>
    </row>
    <row r="94" spans="2:4" x14ac:dyDescent="0.25">
      <c r="B94" s="71">
        <v>67</v>
      </c>
      <c r="C94" s="73">
        <f t="shared" si="2"/>
        <v>31390</v>
      </c>
      <c r="D94" s="74">
        <f t="shared" si="3"/>
        <v>26800</v>
      </c>
    </row>
    <row r="95" spans="2:4" x14ac:dyDescent="0.25">
      <c r="B95" s="71">
        <v>68</v>
      </c>
      <c r="C95" s="73">
        <f t="shared" si="2"/>
        <v>31560</v>
      </c>
      <c r="D95" s="74">
        <f t="shared" si="3"/>
        <v>27200</v>
      </c>
    </row>
    <row r="96" spans="2:4" x14ac:dyDescent="0.25">
      <c r="B96" s="71">
        <v>69</v>
      </c>
      <c r="C96" s="73">
        <f t="shared" si="2"/>
        <v>31730</v>
      </c>
      <c r="D96" s="74">
        <f t="shared" si="3"/>
        <v>27600</v>
      </c>
    </row>
    <row r="97" spans="2:4" x14ac:dyDescent="0.25">
      <c r="B97" s="71">
        <v>70</v>
      </c>
      <c r="C97" s="73">
        <f t="shared" si="2"/>
        <v>31900</v>
      </c>
      <c r="D97" s="74">
        <f t="shared" si="3"/>
        <v>28000</v>
      </c>
    </row>
    <row r="98" spans="2:4" x14ac:dyDescent="0.25">
      <c r="B98" s="71">
        <v>71</v>
      </c>
      <c r="C98" s="73">
        <f t="shared" si="2"/>
        <v>32070</v>
      </c>
      <c r="D98" s="74">
        <f t="shared" si="3"/>
        <v>28400</v>
      </c>
    </row>
    <row r="99" spans="2:4" x14ac:dyDescent="0.25">
      <c r="B99" s="71">
        <v>72</v>
      </c>
      <c r="C99" s="73">
        <f t="shared" si="2"/>
        <v>32240</v>
      </c>
      <c r="D99" s="74">
        <f t="shared" si="3"/>
        <v>28800</v>
      </c>
    </row>
    <row r="100" spans="2:4" x14ac:dyDescent="0.25">
      <c r="B100" s="71">
        <v>73</v>
      </c>
      <c r="C100" s="73">
        <f t="shared" si="2"/>
        <v>32410</v>
      </c>
      <c r="D100" s="74">
        <f t="shared" si="3"/>
        <v>29200</v>
      </c>
    </row>
    <row r="101" spans="2:4" x14ac:dyDescent="0.25">
      <c r="B101" s="71">
        <v>74</v>
      </c>
      <c r="C101" s="73">
        <f t="shared" si="2"/>
        <v>32580</v>
      </c>
      <c r="D101" s="74">
        <f t="shared" si="3"/>
        <v>29600</v>
      </c>
    </row>
    <row r="102" spans="2:4" x14ac:dyDescent="0.25">
      <c r="B102" s="71">
        <v>75</v>
      </c>
      <c r="C102" s="73">
        <f t="shared" si="2"/>
        <v>32750</v>
      </c>
      <c r="D102" s="74">
        <f t="shared" si="3"/>
        <v>30000</v>
      </c>
    </row>
    <row r="103" spans="2:4" x14ac:dyDescent="0.25">
      <c r="B103" s="71">
        <v>76</v>
      </c>
      <c r="C103" s="73">
        <f t="shared" si="2"/>
        <v>32920</v>
      </c>
      <c r="D103" s="74">
        <f t="shared" si="3"/>
        <v>30400</v>
      </c>
    </row>
    <row r="104" spans="2:4" x14ac:dyDescent="0.25">
      <c r="B104" s="71">
        <v>77</v>
      </c>
      <c r="C104" s="73">
        <f t="shared" si="2"/>
        <v>33090</v>
      </c>
      <c r="D104" s="74">
        <f t="shared" si="3"/>
        <v>30800</v>
      </c>
    </row>
    <row r="105" spans="2:4" x14ac:dyDescent="0.25">
      <c r="B105" s="71">
        <v>78</v>
      </c>
      <c r="C105" s="73">
        <f t="shared" si="2"/>
        <v>33260</v>
      </c>
      <c r="D105" s="74">
        <f t="shared" si="3"/>
        <v>31200</v>
      </c>
    </row>
    <row r="106" spans="2:4" x14ac:dyDescent="0.25">
      <c r="B106" s="71">
        <v>79</v>
      </c>
      <c r="C106" s="73">
        <f t="shared" si="2"/>
        <v>33430</v>
      </c>
      <c r="D106" s="74">
        <f t="shared" si="3"/>
        <v>31600</v>
      </c>
    </row>
    <row r="107" spans="2:4" x14ac:dyDescent="0.25">
      <c r="B107" s="71">
        <v>80</v>
      </c>
      <c r="C107" s="73">
        <f t="shared" si="2"/>
        <v>33600</v>
      </c>
      <c r="D107" s="74">
        <f t="shared" si="3"/>
        <v>32000</v>
      </c>
    </row>
    <row r="108" spans="2:4" x14ac:dyDescent="0.25">
      <c r="B108" s="71">
        <v>81</v>
      </c>
      <c r="C108" s="73">
        <f t="shared" si="2"/>
        <v>33770</v>
      </c>
      <c r="D108" s="74">
        <f t="shared" si="3"/>
        <v>32400</v>
      </c>
    </row>
    <row r="109" spans="2:4" x14ac:dyDescent="0.25">
      <c r="B109" s="71">
        <v>82</v>
      </c>
      <c r="C109" s="73">
        <f t="shared" si="2"/>
        <v>33940</v>
      </c>
      <c r="D109" s="74">
        <f t="shared" si="3"/>
        <v>32800</v>
      </c>
    </row>
    <row r="110" spans="2:4" x14ac:dyDescent="0.25">
      <c r="B110" s="71">
        <v>83</v>
      </c>
      <c r="C110" s="73">
        <f t="shared" si="2"/>
        <v>34110</v>
      </c>
      <c r="D110" s="74">
        <f t="shared" si="3"/>
        <v>33200</v>
      </c>
    </row>
    <row r="111" spans="2:4" x14ac:dyDescent="0.25">
      <c r="B111" s="71">
        <v>84</v>
      </c>
      <c r="C111" s="73">
        <f t="shared" si="2"/>
        <v>34280</v>
      </c>
      <c r="D111" s="74">
        <f t="shared" si="3"/>
        <v>33600</v>
      </c>
    </row>
    <row r="112" spans="2:4" x14ac:dyDescent="0.25">
      <c r="B112" s="71">
        <v>85</v>
      </c>
      <c r="C112" s="73">
        <f t="shared" si="2"/>
        <v>34450</v>
      </c>
      <c r="D112" s="74">
        <f t="shared" si="3"/>
        <v>34000</v>
      </c>
    </row>
    <row r="113" spans="2:4" x14ac:dyDescent="0.25">
      <c r="B113" s="71">
        <v>86</v>
      </c>
      <c r="C113" s="73">
        <f t="shared" si="2"/>
        <v>34620</v>
      </c>
      <c r="D113" s="74">
        <f t="shared" si="3"/>
        <v>34400</v>
      </c>
    </row>
    <row r="114" spans="2:4" x14ac:dyDescent="0.25">
      <c r="B114" s="71">
        <v>87</v>
      </c>
      <c r="C114" s="73">
        <f t="shared" si="2"/>
        <v>34790</v>
      </c>
      <c r="D114" s="74">
        <f t="shared" si="3"/>
        <v>34800</v>
      </c>
    </row>
    <row r="115" spans="2:4" x14ac:dyDescent="0.25">
      <c r="B115" s="71">
        <v>88</v>
      </c>
      <c r="C115" s="73">
        <f t="shared" si="2"/>
        <v>34960</v>
      </c>
      <c r="D115" s="74">
        <f t="shared" si="3"/>
        <v>35200</v>
      </c>
    </row>
    <row r="116" spans="2:4" x14ac:dyDescent="0.25">
      <c r="B116" s="71">
        <v>89</v>
      </c>
      <c r="C116" s="73">
        <f t="shared" si="2"/>
        <v>35130</v>
      </c>
      <c r="D116" s="74">
        <f t="shared" si="3"/>
        <v>35600</v>
      </c>
    </row>
    <row r="117" spans="2:4" x14ac:dyDescent="0.25">
      <c r="B117" s="71">
        <v>90</v>
      </c>
      <c r="C117" s="73">
        <f t="shared" si="2"/>
        <v>35300</v>
      </c>
      <c r="D117" s="74">
        <f t="shared" si="3"/>
        <v>36000</v>
      </c>
    </row>
    <row r="118" spans="2:4" x14ac:dyDescent="0.25">
      <c r="B118" s="71">
        <v>91</v>
      </c>
      <c r="C118" s="73">
        <f t="shared" si="2"/>
        <v>35470</v>
      </c>
      <c r="D118" s="74">
        <f t="shared" si="3"/>
        <v>36400</v>
      </c>
    </row>
    <row r="119" spans="2:4" x14ac:dyDescent="0.25">
      <c r="B119" s="71">
        <v>92</v>
      </c>
      <c r="C119" s="73">
        <f t="shared" si="2"/>
        <v>35640</v>
      </c>
      <c r="D119" s="74">
        <f t="shared" si="3"/>
        <v>36800</v>
      </c>
    </row>
    <row r="120" spans="2:4" x14ac:dyDescent="0.25">
      <c r="B120" s="71">
        <v>93</v>
      </c>
      <c r="C120" s="73">
        <f t="shared" si="2"/>
        <v>35810</v>
      </c>
      <c r="D120" s="74">
        <f t="shared" si="3"/>
        <v>37200</v>
      </c>
    </row>
    <row r="121" spans="2:4" x14ac:dyDescent="0.25">
      <c r="B121" s="71">
        <v>94</v>
      </c>
      <c r="C121" s="73">
        <f t="shared" si="2"/>
        <v>35980</v>
      </c>
      <c r="D121" s="74">
        <f t="shared" si="3"/>
        <v>37600</v>
      </c>
    </row>
    <row r="122" spans="2:4" x14ac:dyDescent="0.25">
      <c r="B122" s="71">
        <v>95</v>
      </c>
      <c r="C122" s="73">
        <f t="shared" si="2"/>
        <v>36150</v>
      </c>
      <c r="D122" s="74">
        <f t="shared" si="3"/>
        <v>38000</v>
      </c>
    </row>
    <row r="123" spans="2:4" x14ac:dyDescent="0.25">
      <c r="B123" s="71">
        <v>96</v>
      </c>
      <c r="C123" s="73">
        <f t="shared" si="2"/>
        <v>36320</v>
      </c>
      <c r="D123" s="74">
        <f t="shared" si="3"/>
        <v>38400</v>
      </c>
    </row>
    <row r="124" spans="2:4" x14ac:dyDescent="0.25">
      <c r="B124" s="71">
        <v>97</v>
      </c>
      <c r="C124" s="73">
        <f t="shared" si="2"/>
        <v>36490</v>
      </c>
      <c r="D124" s="74">
        <f t="shared" si="3"/>
        <v>38800</v>
      </c>
    </row>
    <row r="125" spans="2:4" x14ac:dyDescent="0.25">
      <c r="B125" s="71">
        <v>98</v>
      </c>
      <c r="C125" s="73">
        <f t="shared" si="2"/>
        <v>36660</v>
      </c>
      <c r="D125" s="74">
        <f t="shared" si="3"/>
        <v>39200</v>
      </c>
    </row>
    <row r="126" spans="2:4" x14ac:dyDescent="0.25">
      <c r="B126" s="71">
        <v>99</v>
      </c>
      <c r="C126" s="73">
        <f t="shared" si="2"/>
        <v>36830</v>
      </c>
      <c r="D126" s="74">
        <f t="shared" si="3"/>
        <v>39600</v>
      </c>
    </row>
    <row r="127" spans="2:4" x14ac:dyDescent="0.25">
      <c r="B127" s="71">
        <v>100</v>
      </c>
      <c r="C127" s="73">
        <f t="shared" si="2"/>
        <v>37000</v>
      </c>
      <c r="D127" s="74">
        <f t="shared" si="3"/>
        <v>40000</v>
      </c>
    </row>
    <row r="128" spans="2:4" x14ac:dyDescent="0.25">
      <c r="B128" s="71">
        <v>101</v>
      </c>
      <c r="C128" s="73">
        <f t="shared" si="2"/>
        <v>37170</v>
      </c>
      <c r="D128" s="74">
        <f t="shared" si="3"/>
        <v>40400</v>
      </c>
    </row>
    <row r="129" spans="2:4" x14ac:dyDescent="0.25">
      <c r="B129" s="71">
        <v>102</v>
      </c>
      <c r="C129" s="73">
        <f t="shared" si="2"/>
        <v>37340</v>
      </c>
      <c r="D129" s="74">
        <f t="shared" si="3"/>
        <v>40800</v>
      </c>
    </row>
    <row r="130" spans="2:4" x14ac:dyDescent="0.25">
      <c r="B130" s="71">
        <v>103</v>
      </c>
      <c r="C130" s="73">
        <f t="shared" si="2"/>
        <v>37510</v>
      </c>
      <c r="D130" s="74">
        <f t="shared" si="3"/>
        <v>41200</v>
      </c>
    </row>
    <row r="131" spans="2:4" x14ac:dyDescent="0.25">
      <c r="B131" s="71">
        <v>104</v>
      </c>
      <c r="C131" s="73">
        <f t="shared" si="2"/>
        <v>37680</v>
      </c>
      <c r="D131" s="74">
        <f t="shared" si="3"/>
        <v>41600</v>
      </c>
    </row>
    <row r="132" spans="2:4" x14ac:dyDescent="0.25">
      <c r="B132" s="71">
        <v>105</v>
      </c>
      <c r="C132" s="73">
        <f t="shared" si="2"/>
        <v>37850</v>
      </c>
      <c r="D132" s="74">
        <f t="shared" si="3"/>
        <v>42000</v>
      </c>
    </row>
    <row r="133" spans="2:4" x14ac:dyDescent="0.25">
      <c r="B133" s="71">
        <v>106</v>
      </c>
      <c r="C133" s="73">
        <f t="shared" si="2"/>
        <v>38020</v>
      </c>
      <c r="D133" s="74">
        <f t="shared" si="3"/>
        <v>42400</v>
      </c>
    </row>
    <row r="134" spans="2:4" x14ac:dyDescent="0.25">
      <c r="B134" s="71">
        <v>107</v>
      </c>
      <c r="C134" s="73">
        <f t="shared" si="2"/>
        <v>38190</v>
      </c>
      <c r="D134" s="74">
        <f t="shared" si="3"/>
        <v>42800</v>
      </c>
    </row>
    <row r="135" spans="2:4" x14ac:dyDescent="0.25">
      <c r="B135" s="71">
        <v>108</v>
      </c>
      <c r="C135" s="73">
        <f t="shared" si="2"/>
        <v>38360</v>
      </c>
      <c r="D135" s="74">
        <f t="shared" si="3"/>
        <v>43200</v>
      </c>
    </row>
    <row r="136" spans="2:4" x14ac:dyDescent="0.25">
      <c r="B136" s="71">
        <v>109</v>
      </c>
      <c r="C136" s="73">
        <f t="shared" si="2"/>
        <v>38530</v>
      </c>
      <c r="D136" s="74">
        <f t="shared" si="3"/>
        <v>43600</v>
      </c>
    </row>
    <row r="137" spans="2:4" x14ac:dyDescent="0.25">
      <c r="B137" s="71">
        <v>110</v>
      </c>
      <c r="C137" s="73">
        <f t="shared" si="2"/>
        <v>38700</v>
      </c>
      <c r="D137" s="74">
        <f t="shared" si="3"/>
        <v>44000</v>
      </c>
    </row>
    <row r="138" spans="2:4" x14ac:dyDescent="0.25">
      <c r="B138" s="71">
        <v>111</v>
      </c>
      <c r="C138" s="73">
        <f t="shared" si="2"/>
        <v>38870</v>
      </c>
      <c r="D138" s="74">
        <f t="shared" si="3"/>
        <v>44400</v>
      </c>
    </row>
    <row r="139" spans="2:4" x14ac:dyDescent="0.25">
      <c r="B139" s="71">
        <v>112</v>
      </c>
      <c r="C139" s="73">
        <f t="shared" si="2"/>
        <v>39040</v>
      </c>
      <c r="D139" s="74">
        <f t="shared" si="3"/>
        <v>44800</v>
      </c>
    </row>
    <row r="140" spans="2:4" x14ac:dyDescent="0.25">
      <c r="B140" s="71">
        <v>113</v>
      </c>
      <c r="C140" s="73">
        <f t="shared" si="2"/>
        <v>39210</v>
      </c>
      <c r="D140" s="74">
        <f t="shared" si="3"/>
        <v>45200</v>
      </c>
    </row>
    <row r="141" spans="2:4" x14ac:dyDescent="0.25">
      <c r="B141" s="71">
        <v>114</v>
      </c>
      <c r="C141" s="73">
        <f t="shared" si="2"/>
        <v>39380</v>
      </c>
      <c r="D141" s="74">
        <f t="shared" si="3"/>
        <v>45600</v>
      </c>
    </row>
    <row r="142" spans="2:4" x14ac:dyDescent="0.25">
      <c r="B142" s="71">
        <v>115</v>
      </c>
      <c r="C142" s="73">
        <f t="shared" si="2"/>
        <v>39550</v>
      </c>
      <c r="D142" s="74">
        <f t="shared" si="3"/>
        <v>46000</v>
      </c>
    </row>
    <row r="143" spans="2:4" x14ac:dyDescent="0.25">
      <c r="B143" s="71">
        <v>116</v>
      </c>
      <c r="C143" s="73">
        <f t="shared" si="2"/>
        <v>39720</v>
      </c>
      <c r="D143" s="74">
        <f t="shared" si="3"/>
        <v>46400</v>
      </c>
    </row>
    <row r="144" spans="2:4" x14ac:dyDescent="0.25">
      <c r="B144" s="71">
        <v>117</v>
      </c>
      <c r="C144" s="73">
        <f t="shared" si="2"/>
        <v>39890</v>
      </c>
      <c r="D144" s="74">
        <f t="shared" si="3"/>
        <v>46800</v>
      </c>
    </row>
    <row r="145" spans="2:4" x14ac:dyDescent="0.25">
      <c r="B145" s="71">
        <v>118</v>
      </c>
      <c r="C145" s="73">
        <f t="shared" si="2"/>
        <v>40060</v>
      </c>
      <c r="D145" s="74">
        <f t="shared" si="3"/>
        <v>47200</v>
      </c>
    </row>
    <row r="146" spans="2:4" x14ac:dyDescent="0.25">
      <c r="B146" s="71">
        <v>119</v>
      </c>
      <c r="C146" s="73">
        <f t="shared" si="2"/>
        <v>40230</v>
      </c>
      <c r="D146" s="74">
        <f t="shared" si="3"/>
        <v>47600</v>
      </c>
    </row>
    <row r="147" spans="2:4" x14ac:dyDescent="0.25">
      <c r="B147" s="71">
        <v>120</v>
      </c>
      <c r="C147" s="73">
        <f t="shared" si="2"/>
        <v>40400</v>
      </c>
      <c r="D147" s="74">
        <f t="shared" si="3"/>
        <v>48000</v>
      </c>
    </row>
    <row r="148" spans="2:4" x14ac:dyDescent="0.25">
      <c r="B148" s="71">
        <v>121</v>
      </c>
      <c r="C148" s="73">
        <f t="shared" si="2"/>
        <v>40570</v>
      </c>
      <c r="D148" s="74">
        <f t="shared" si="3"/>
        <v>48400</v>
      </c>
    </row>
    <row r="149" spans="2:4" x14ac:dyDescent="0.25">
      <c r="B149" s="71">
        <v>122</v>
      </c>
      <c r="C149" s="73">
        <f t="shared" si="2"/>
        <v>40740</v>
      </c>
      <c r="D149" s="74">
        <f t="shared" si="3"/>
        <v>48800</v>
      </c>
    </row>
    <row r="150" spans="2:4" x14ac:dyDescent="0.25">
      <c r="B150" s="71">
        <v>123</v>
      </c>
      <c r="C150" s="73">
        <f t="shared" si="2"/>
        <v>40910</v>
      </c>
      <c r="D150" s="74">
        <f t="shared" si="3"/>
        <v>49200</v>
      </c>
    </row>
    <row r="151" spans="2:4" x14ac:dyDescent="0.25">
      <c r="B151" s="71">
        <v>124</v>
      </c>
      <c r="C151" s="73">
        <f t="shared" si="2"/>
        <v>41080</v>
      </c>
      <c r="D151" s="74">
        <f t="shared" si="3"/>
        <v>49600</v>
      </c>
    </row>
    <row r="152" spans="2:4" x14ac:dyDescent="0.25">
      <c r="B152" s="71">
        <v>125</v>
      </c>
      <c r="C152" s="73">
        <f t="shared" si="2"/>
        <v>41250</v>
      </c>
      <c r="D152" s="74">
        <f t="shared" si="3"/>
        <v>50000</v>
      </c>
    </row>
    <row r="153" spans="2:4" x14ac:dyDescent="0.25">
      <c r="B153" s="71">
        <v>126</v>
      </c>
      <c r="C153" s="73">
        <f t="shared" si="2"/>
        <v>41420</v>
      </c>
      <c r="D153" s="74">
        <f t="shared" si="3"/>
        <v>50400</v>
      </c>
    </row>
    <row r="154" spans="2:4" x14ac:dyDescent="0.25">
      <c r="B154" s="71">
        <v>127</v>
      </c>
      <c r="C154" s="73">
        <f t="shared" si="2"/>
        <v>41590</v>
      </c>
      <c r="D154" s="74">
        <f t="shared" si="3"/>
        <v>50800</v>
      </c>
    </row>
    <row r="155" spans="2:4" x14ac:dyDescent="0.25">
      <c r="B155" s="71">
        <v>128</v>
      </c>
      <c r="C155" s="73">
        <f t="shared" si="2"/>
        <v>41760</v>
      </c>
      <c r="D155" s="74">
        <f t="shared" si="3"/>
        <v>51200</v>
      </c>
    </row>
    <row r="156" spans="2:4" x14ac:dyDescent="0.25">
      <c r="B156" s="71">
        <v>129</v>
      </c>
      <c r="C156" s="73">
        <f t="shared" ref="C156:C183" si="4">$C$9+$C$16*B156</f>
        <v>41930</v>
      </c>
      <c r="D156" s="74">
        <f t="shared" ref="D156:D183" si="5">$C$18*B156</f>
        <v>51600</v>
      </c>
    </row>
    <row r="157" spans="2:4" x14ac:dyDescent="0.25">
      <c r="B157" s="71">
        <v>130</v>
      </c>
      <c r="C157" s="73">
        <f t="shared" si="4"/>
        <v>42100</v>
      </c>
      <c r="D157" s="74">
        <f t="shared" si="5"/>
        <v>52000</v>
      </c>
    </row>
    <row r="158" spans="2:4" x14ac:dyDescent="0.25">
      <c r="B158" s="71">
        <v>131</v>
      </c>
      <c r="C158" s="73">
        <f t="shared" si="4"/>
        <v>42270</v>
      </c>
      <c r="D158" s="74">
        <f t="shared" si="5"/>
        <v>52400</v>
      </c>
    </row>
    <row r="159" spans="2:4" x14ac:dyDescent="0.25">
      <c r="B159" s="71">
        <v>132</v>
      </c>
      <c r="C159" s="73">
        <f t="shared" si="4"/>
        <v>42440</v>
      </c>
      <c r="D159" s="74">
        <f t="shared" si="5"/>
        <v>52800</v>
      </c>
    </row>
    <row r="160" spans="2:4" x14ac:dyDescent="0.25">
      <c r="B160" s="71">
        <v>133</v>
      </c>
      <c r="C160" s="73">
        <f t="shared" si="4"/>
        <v>42610</v>
      </c>
      <c r="D160" s="74">
        <f t="shared" si="5"/>
        <v>53200</v>
      </c>
    </row>
    <row r="161" spans="2:4" x14ac:dyDescent="0.25">
      <c r="B161" s="71">
        <v>134</v>
      </c>
      <c r="C161" s="73">
        <f t="shared" si="4"/>
        <v>42780</v>
      </c>
      <c r="D161" s="74">
        <f t="shared" si="5"/>
        <v>53600</v>
      </c>
    </row>
    <row r="162" spans="2:4" x14ac:dyDescent="0.25">
      <c r="B162" s="71">
        <v>135</v>
      </c>
      <c r="C162" s="73">
        <f t="shared" si="4"/>
        <v>42950</v>
      </c>
      <c r="D162" s="74">
        <f t="shared" si="5"/>
        <v>54000</v>
      </c>
    </row>
    <row r="163" spans="2:4" x14ac:dyDescent="0.25">
      <c r="B163" s="71">
        <v>136</v>
      </c>
      <c r="C163" s="73">
        <f t="shared" si="4"/>
        <v>43120</v>
      </c>
      <c r="D163" s="74">
        <f t="shared" si="5"/>
        <v>54400</v>
      </c>
    </row>
    <row r="164" spans="2:4" x14ac:dyDescent="0.25">
      <c r="B164" s="71">
        <v>137</v>
      </c>
      <c r="C164" s="73">
        <f t="shared" si="4"/>
        <v>43290</v>
      </c>
      <c r="D164" s="74">
        <f t="shared" si="5"/>
        <v>54800</v>
      </c>
    </row>
    <row r="165" spans="2:4" x14ac:dyDescent="0.25">
      <c r="B165" s="71">
        <v>138</v>
      </c>
      <c r="C165" s="73">
        <f t="shared" si="4"/>
        <v>43460</v>
      </c>
      <c r="D165" s="74">
        <f t="shared" si="5"/>
        <v>55200</v>
      </c>
    </row>
    <row r="166" spans="2:4" x14ac:dyDescent="0.25">
      <c r="B166" s="71">
        <v>139</v>
      </c>
      <c r="C166" s="73">
        <f t="shared" si="4"/>
        <v>43630</v>
      </c>
      <c r="D166" s="74">
        <f t="shared" si="5"/>
        <v>55600</v>
      </c>
    </row>
    <row r="167" spans="2:4" x14ac:dyDescent="0.25">
      <c r="B167" s="71">
        <v>140</v>
      </c>
      <c r="C167" s="73">
        <f t="shared" si="4"/>
        <v>43800</v>
      </c>
      <c r="D167" s="74">
        <f t="shared" si="5"/>
        <v>56000</v>
      </c>
    </row>
    <row r="168" spans="2:4" x14ac:dyDescent="0.25">
      <c r="B168" s="71">
        <v>141</v>
      </c>
      <c r="C168" s="73">
        <f t="shared" si="4"/>
        <v>43970</v>
      </c>
      <c r="D168" s="74">
        <f t="shared" si="5"/>
        <v>56400</v>
      </c>
    </row>
    <row r="169" spans="2:4" x14ac:dyDescent="0.25">
      <c r="B169" s="71">
        <v>142</v>
      </c>
      <c r="C169" s="73">
        <f t="shared" si="4"/>
        <v>44140</v>
      </c>
      <c r="D169" s="74">
        <f t="shared" si="5"/>
        <v>56800</v>
      </c>
    </row>
    <row r="170" spans="2:4" x14ac:dyDescent="0.25">
      <c r="B170" s="71">
        <v>143</v>
      </c>
      <c r="C170" s="73">
        <f t="shared" si="4"/>
        <v>44310</v>
      </c>
      <c r="D170" s="74">
        <f t="shared" si="5"/>
        <v>57200</v>
      </c>
    </row>
    <row r="171" spans="2:4" x14ac:dyDescent="0.25">
      <c r="B171" s="71">
        <v>144</v>
      </c>
      <c r="C171" s="73">
        <f t="shared" si="4"/>
        <v>44480</v>
      </c>
      <c r="D171" s="74">
        <f t="shared" si="5"/>
        <v>57600</v>
      </c>
    </row>
    <row r="172" spans="2:4" x14ac:dyDescent="0.25">
      <c r="B172" s="71">
        <v>145</v>
      </c>
      <c r="C172" s="73">
        <f t="shared" si="4"/>
        <v>44650</v>
      </c>
      <c r="D172" s="74">
        <f t="shared" si="5"/>
        <v>58000</v>
      </c>
    </row>
    <row r="173" spans="2:4" x14ac:dyDescent="0.25">
      <c r="B173" s="71">
        <v>146</v>
      </c>
      <c r="C173" s="73">
        <f t="shared" si="4"/>
        <v>44820</v>
      </c>
      <c r="D173" s="74">
        <f t="shared" si="5"/>
        <v>58400</v>
      </c>
    </row>
    <row r="174" spans="2:4" x14ac:dyDescent="0.25">
      <c r="B174" s="71">
        <v>147</v>
      </c>
      <c r="C174" s="73">
        <f t="shared" si="4"/>
        <v>44990</v>
      </c>
      <c r="D174" s="74">
        <f t="shared" si="5"/>
        <v>58800</v>
      </c>
    </row>
    <row r="175" spans="2:4" x14ac:dyDescent="0.25">
      <c r="B175" s="71">
        <v>148</v>
      </c>
      <c r="C175" s="73">
        <f t="shared" si="4"/>
        <v>45160</v>
      </c>
      <c r="D175" s="74">
        <f t="shared" si="5"/>
        <v>59200</v>
      </c>
    </row>
    <row r="176" spans="2:4" x14ac:dyDescent="0.25">
      <c r="B176" s="71">
        <v>149</v>
      </c>
      <c r="C176" s="73">
        <f t="shared" si="4"/>
        <v>45330</v>
      </c>
      <c r="D176" s="74">
        <f t="shared" si="5"/>
        <v>59600</v>
      </c>
    </row>
    <row r="177" spans="2:4" x14ac:dyDescent="0.25">
      <c r="B177" s="71">
        <v>150</v>
      </c>
      <c r="C177" s="73">
        <f t="shared" si="4"/>
        <v>45500</v>
      </c>
      <c r="D177" s="74">
        <f t="shared" si="5"/>
        <v>60000</v>
      </c>
    </row>
    <row r="178" spans="2:4" x14ac:dyDescent="0.25">
      <c r="B178" s="71">
        <v>151</v>
      </c>
      <c r="C178" s="73">
        <f t="shared" si="4"/>
        <v>45670</v>
      </c>
      <c r="D178" s="74">
        <f t="shared" si="5"/>
        <v>60400</v>
      </c>
    </row>
    <row r="179" spans="2:4" x14ac:dyDescent="0.25">
      <c r="B179" s="71">
        <v>152</v>
      </c>
      <c r="C179" s="73">
        <f t="shared" si="4"/>
        <v>45840</v>
      </c>
      <c r="D179" s="74">
        <f t="shared" si="5"/>
        <v>60800</v>
      </c>
    </row>
    <row r="180" spans="2:4" x14ac:dyDescent="0.25">
      <c r="B180" s="71">
        <v>153</v>
      </c>
      <c r="C180" s="73">
        <f t="shared" si="4"/>
        <v>46010</v>
      </c>
      <c r="D180" s="74">
        <f t="shared" si="5"/>
        <v>61200</v>
      </c>
    </row>
    <row r="181" spans="2:4" x14ac:dyDescent="0.25">
      <c r="B181" s="71">
        <v>154</v>
      </c>
      <c r="C181" s="73">
        <f t="shared" si="4"/>
        <v>46180</v>
      </c>
      <c r="D181" s="74">
        <f t="shared" si="5"/>
        <v>61600</v>
      </c>
    </row>
    <row r="182" spans="2:4" x14ac:dyDescent="0.25">
      <c r="B182" s="71">
        <v>155</v>
      </c>
      <c r="C182" s="73">
        <f t="shared" si="4"/>
        <v>46350</v>
      </c>
      <c r="D182" s="74">
        <f t="shared" si="5"/>
        <v>62000</v>
      </c>
    </row>
    <row r="183" spans="2:4" ht="15.75" thickBot="1" x14ac:dyDescent="0.3">
      <c r="B183" s="72">
        <v>156</v>
      </c>
      <c r="C183" s="73">
        <f t="shared" si="4"/>
        <v>46520</v>
      </c>
      <c r="D183" s="74">
        <f t="shared" si="5"/>
        <v>62400</v>
      </c>
    </row>
  </sheetData>
  <mergeCells count="1">
    <mergeCell ref="B11:C1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6717-526C-4AE1-8172-E75F64EDA202}">
  <dimension ref="A1:AA83"/>
  <sheetViews>
    <sheetView zoomScaleNormal="100" workbookViewId="0">
      <selection activeCell="L10" sqref="L10"/>
    </sheetView>
  </sheetViews>
  <sheetFormatPr baseColWidth="10" defaultRowHeight="15" x14ac:dyDescent="0.25"/>
  <cols>
    <col min="3" max="3" width="14.140625" customWidth="1"/>
    <col min="4" max="4" width="9.28515625" customWidth="1"/>
    <col min="5" max="5" width="15.85546875" customWidth="1"/>
    <col min="6" max="6" width="19" customWidth="1"/>
    <col min="7" max="7" width="15.5703125" customWidth="1"/>
    <col min="8" max="8" width="13.710937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17" t="s">
        <v>57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0" x14ac:dyDescent="0.25">
      <c r="A4" s="1"/>
      <c r="B4" s="159" t="s">
        <v>7</v>
      </c>
      <c r="C4" s="159"/>
      <c r="D4" s="101" t="s">
        <v>6</v>
      </c>
      <c r="E4" s="12" t="s">
        <v>13</v>
      </c>
      <c r="F4" s="12" t="s">
        <v>14</v>
      </c>
      <c r="G4" s="12" t="s">
        <v>15</v>
      </c>
      <c r="H4" s="12" t="s">
        <v>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1" t="s">
        <v>215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x14ac:dyDescent="0.25">
      <c r="A8" s="1"/>
      <c r="B8" s="156" t="s">
        <v>9</v>
      </c>
      <c r="C8" s="41" t="s">
        <v>0</v>
      </c>
      <c r="D8" s="42" t="s">
        <v>16</v>
      </c>
      <c r="E8" s="43">
        <f>VLOOKUP(C8,'5- Anexar insumos'!$B$4:$C$9,2,)</f>
        <v>70</v>
      </c>
      <c r="F8" s="42" t="s">
        <v>19</v>
      </c>
      <c r="G8" s="44">
        <v>4</v>
      </c>
      <c r="H8" s="45">
        <f>E8/G8</f>
        <v>17.5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x14ac:dyDescent="0.25">
      <c r="A9" s="1"/>
      <c r="B9" s="158"/>
      <c r="C9" s="30" t="s">
        <v>1</v>
      </c>
      <c r="D9" s="6" t="s">
        <v>17</v>
      </c>
      <c r="E9" s="43">
        <f>VLOOKUP(C9,'5- Anexar insumos'!$B$4:$C$9,2,)</f>
        <v>32</v>
      </c>
      <c r="F9" s="6" t="s">
        <v>20</v>
      </c>
      <c r="G9" s="10">
        <f>500/5</f>
        <v>100</v>
      </c>
      <c r="H9" s="9">
        <f t="shared" ref="H9:H11" si="0">E9/G9</f>
        <v>0.32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x14ac:dyDescent="0.25">
      <c r="A10" s="1"/>
      <c r="B10" s="158"/>
      <c r="C10" s="30" t="s">
        <v>4</v>
      </c>
      <c r="D10" s="6" t="s">
        <v>18</v>
      </c>
      <c r="E10" s="43">
        <f>VLOOKUP(C10,'5- Anexar insumos'!$B$4:$C$9,2,)</f>
        <v>100</v>
      </c>
      <c r="F10" s="6" t="s">
        <v>21</v>
      </c>
      <c r="G10" s="10">
        <f>1000/20</f>
        <v>50</v>
      </c>
      <c r="H10" s="9">
        <f t="shared" si="0"/>
        <v>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157"/>
      <c r="C11" s="30" t="s">
        <v>10</v>
      </c>
      <c r="D11" s="6" t="s">
        <v>16</v>
      </c>
      <c r="E11" s="8">
        <v>400</v>
      </c>
      <c r="F11" s="6" t="s">
        <v>26</v>
      </c>
      <c r="G11" s="10">
        <f>1000/10</f>
        <v>100</v>
      </c>
      <c r="H11" s="9">
        <f t="shared" si="0"/>
        <v>4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1"/>
      <c r="C12" s="15"/>
      <c r="D12" s="4"/>
      <c r="E12" s="1"/>
      <c r="F12" s="4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x14ac:dyDescent="0.25">
      <c r="A13" s="1"/>
      <c r="B13" s="156" t="s">
        <v>11</v>
      </c>
      <c r="C13" s="30" t="s">
        <v>2</v>
      </c>
      <c r="D13" s="6" t="s">
        <v>16</v>
      </c>
      <c r="E13" s="43">
        <f>VLOOKUP(C13,'5- Anexar insumos'!$B$4:$C$9,2,)</f>
        <v>329</v>
      </c>
      <c r="F13" s="6" t="s">
        <v>23</v>
      </c>
      <c r="G13" s="33">
        <f>1000/200</f>
        <v>5</v>
      </c>
      <c r="H13" s="9">
        <f t="shared" ref="H13:H16" si="1">E13/G13</f>
        <v>65.8</v>
      </c>
      <c r="I13" s="2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x14ac:dyDescent="0.25">
      <c r="A14" s="1"/>
      <c r="B14" s="158"/>
      <c r="C14" s="30" t="s">
        <v>3</v>
      </c>
      <c r="D14" s="6" t="s">
        <v>16</v>
      </c>
      <c r="E14" s="43">
        <f>VLOOKUP(C14,'5- Anexar insumos'!$B$4:$C$9,2,)</f>
        <v>630</v>
      </c>
      <c r="F14" s="6" t="s">
        <v>24</v>
      </c>
      <c r="G14" s="10">
        <f>1000/80</f>
        <v>12.5</v>
      </c>
      <c r="H14" s="9">
        <f t="shared" si="1"/>
        <v>50.4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x14ac:dyDescent="0.25">
      <c r="A15" s="1"/>
      <c r="B15" s="158"/>
      <c r="C15" s="30" t="s">
        <v>5</v>
      </c>
      <c r="D15" s="6" t="s">
        <v>16</v>
      </c>
      <c r="E15" s="8">
        <v>120</v>
      </c>
      <c r="F15" s="6" t="s">
        <v>25</v>
      </c>
      <c r="G15" s="10">
        <f>1000/40</f>
        <v>25</v>
      </c>
      <c r="H15" s="9">
        <f t="shared" si="1"/>
        <v>4.8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157"/>
      <c r="C16" s="30" t="s">
        <v>12</v>
      </c>
      <c r="D16" s="6" t="s">
        <v>18</v>
      </c>
      <c r="E16" s="8">
        <v>74.5</v>
      </c>
      <c r="F16" s="6" t="s">
        <v>22</v>
      </c>
      <c r="G16" s="10">
        <f>1000/65</f>
        <v>15.384615384615385</v>
      </c>
      <c r="H16" s="9">
        <f t="shared" si="1"/>
        <v>4.8425000000000002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x14ac:dyDescent="0.25">
      <c r="A18" s="1"/>
      <c r="B18" s="1"/>
      <c r="C18" s="1"/>
      <c r="D18" s="1"/>
      <c r="E18" s="1"/>
      <c r="F18" s="1"/>
      <c r="G18" s="13" t="s">
        <v>27</v>
      </c>
      <c r="H18" s="32">
        <f>SUM(H8:H16)</f>
        <v>149.66250000000002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x14ac:dyDescent="0.25">
      <c r="A21" s="1"/>
      <c r="B21" s="1" t="s">
        <v>216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x14ac:dyDescent="0.25">
      <c r="A23" s="1"/>
      <c r="B23" s="156" t="s">
        <v>9</v>
      </c>
      <c r="C23" s="41" t="s">
        <v>0</v>
      </c>
      <c r="D23" s="42" t="s">
        <v>16</v>
      </c>
      <c r="E23" s="43">
        <f>VLOOKUP(C23,'5- Anexar insumos'!$B$4:$C$9,2,)</f>
        <v>70</v>
      </c>
      <c r="F23" s="42" t="s">
        <v>19</v>
      </c>
      <c r="G23" s="44">
        <v>4</v>
      </c>
      <c r="H23" s="45">
        <f>E23/G23</f>
        <v>17.5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x14ac:dyDescent="0.25">
      <c r="A24" s="1"/>
      <c r="B24" s="158"/>
      <c r="C24" s="30" t="s">
        <v>1</v>
      </c>
      <c r="D24" s="6" t="s">
        <v>17</v>
      </c>
      <c r="E24" s="43">
        <f>VLOOKUP(C24,'5- Anexar insumos'!$B$4:$C$9,2,)</f>
        <v>32</v>
      </c>
      <c r="F24" s="6" t="s">
        <v>20</v>
      </c>
      <c r="G24" s="10">
        <f>500/5</f>
        <v>100</v>
      </c>
      <c r="H24" s="9">
        <f t="shared" ref="H24:H26" si="2">E24/G24</f>
        <v>0.32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x14ac:dyDescent="0.25">
      <c r="A25" s="1"/>
      <c r="B25" s="158"/>
      <c r="C25" s="30" t="s">
        <v>4</v>
      </c>
      <c r="D25" s="6" t="s">
        <v>18</v>
      </c>
      <c r="E25" s="43">
        <f>VLOOKUP(C25,'5- Anexar insumos'!$B$4:$C$9,2,)</f>
        <v>100</v>
      </c>
      <c r="F25" s="6" t="s">
        <v>21</v>
      </c>
      <c r="G25" s="10">
        <f>1000/20</f>
        <v>50</v>
      </c>
      <c r="H25" s="9">
        <f t="shared" si="2"/>
        <v>2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x14ac:dyDescent="0.25">
      <c r="A26" s="1"/>
      <c r="B26" s="157"/>
      <c r="C26" s="30" t="s">
        <v>10</v>
      </c>
      <c r="D26" s="6" t="s">
        <v>16</v>
      </c>
      <c r="E26" s="8">
        <v>400</v>
      </c>
      <c r="F26" s="6" t="s">
        <v>26</v>
      </c>
      <c r="G26" s="10">
        <f>1000/10</f>
        <v>100</v>
      </c>
      <c r="H26" s="9">
        <f t="shared" si="2"/>
        <v>4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x14ac:dyDescent="0.25">
      <c r="A27" s="1"/>
      <c r="B27" s="1"/>
      <c r="C27" s="15"/>
      <c r="D27" s="4"/>
      <c r="E27" s="1"/>
      <c r="F27" s="4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x14ac:dyDescent="0.25">
      <c r="A28" s="1"/>
      <c r="B28" s="156" t="s">
        <v>11</v>
      </c>
      <c r="C28" s="30" t="s">
        <v>2</v>
      </c>
      <c r="D28" s="6" t="s">
        <v>16</v>
      </c>
      <c r="E28" s="43">
        <f>VLOOKUP(C28,'5- Anexar insumos'!$B$4:$C$9,2,)</f>
        <v>329</v>
      </c>
      <c r="F28" s="6" t="s">
        <v>23</v>
      </c>
      <c r="G28" s="33">
        <f>1000/200</f>
        <v>5</v>
      </c>
      <c r="H28" s="9">
        <f t="shared" ref="H28:H29" si="3">E28/G28</f>
        <v>65.8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x14ac:dyDescent="0.25">
      <c r="A29" s="1"/>
      <c r="B29" s="157"/>
      <c r="C29" s="30" t="s">
        <v>12</v>
      </c>
      <c r="D29" s="6" t="s">
        <v>18</v>
      </c>
      <c r="E29" s="8">
        <v>74.5</v>
      </c>
      <c r="F29" s="6" t="s">
        <v>22</v>
      </c>
      <c r="G29" s="10">
        <f>1000/65</f>
        <v>15.384615384615385</v>
      </c>
      <c r="H29" s="9">
        <f t="shared" si="3"/>
        <v>4.8425000000000002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x14ac:dyDescent="0.25">
      <c r="A31" s="1"/>
      <c r="B31" s="1"/>
      <c r="C31" s="1"/>
      <c r="D31" s="1"/>
      <c r="E31" s="1"/>
      <c r="F31" s="1"/>
      <c r="G31" s="13" t="s">
        <v>27</v>
      </c>
      <c r="H31" s="32">
        <f>SUM(H23:H29)</f>
        <v>94.462500000000006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5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25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0:27" x14ac:dyDescent="0.25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0:27" x14ac:dyDescent="0.25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0:27" x14ac:dyDescent="0.25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</sheetData>
  <mergeCells count="5">
    <mergeCell ref="B4:C4"/>
    <mergeCell ref="B8:B11"/>
    <mergeCell ref="B13:B16"/>
    <mergeCell ref="B23:B26"/>
    <mergeCell ref="B28:B2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0E00B-7196-4410-8644-3DAF335F7485}">
  <sheetPr>
    <tabColor theme="8" tint="0.39997558519241921"/>
  </sheetPr>
  <dimension ref="A1:BF78"/>
  <sheetViews>
    <sheetView workbookViewId="0">
      <selection activeCell="B7" sqref="B7"/>
    </sheetView>
  </sheetViews>
  <sheetFormatPr baseColWidth="10" defaultRowHeight="15" x14ac:dyDescent="0.25"/>
  <cols>
    <col min="1" max="1" width="4.5703125" customWidth="1"/>
    <col min="2" max="2" width="8.85546875" customWidth="1"/>
    <col min="3" max="3" width="7.42578125" bestFit="1" customWidth="1"/>
    <col min="4" max="4" width="2" bestFit="1" customWidth="1"/>
    <col min="5" max="5" width="7.7109375" bestFit="1" customWidth="1"/>
    <col min="6" max="6" width="3" customWidth="1"/>
    <col min="7" max="7" width="5.85546875" customWidth="1"/>
    <col min="8" max="8" width="1.7109375" bestFit="1" customWidth="1"/>
    <col min="11" max="11" width="3.42578125" customWidth="1"/>
    <col min="12" max="12" width="6.28515625" customWidth="1"/>
  </cols>
  <sheetData>
    <row r="1" spans="1:58" ht="12" customHeight="1" x14ac:dyDescent="0.25">
      <c r="A1" s="131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1"/>
      <c r="AL1" s="131"/>
      <c r="AM1" s="131"/>
      <c r="AN1" s="131"/>
      <c r="AO1" s="131"/>
      <c r="AP1" s="131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</row>
    <row r="2" spans="1:58" ht="20.25" x14ac:dyDescent="0.3">
      <c r="A2" s="131"/>
      <c r="B2" s="134" t="s">
        <v>220</v>
      </c>
      <c r="C2" s="134"/>
      <c r="D2" s="134"/>
      <c r="E2" s="134"/>
      <c r="F2" s="134"/>
      <c r="G2" s="134"/>
      <c r="H2" s="134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3"/>
      <c r="V2" s="133"/>
      <c r="W2" s="132"/>
      <c r="X2" s="132"/>
      <c r="Y2" s="132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</row>
    <row r="3" spans="1:58" ht="15.75" x14ac:dyDescent="0.25">
      <c r="A3" s="131"/>
      <c r="B3" s="135" t="s">
        <v>221</v>
      </c>
      <c r="C3" s="136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3"/>
      <c r="V3" s="133"/>
      <c r="W3" s="132"/>
      <c r="X3" s="132"/>
      <c r="Y3" s="132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</row>
    <row r="4" spans="1:58" x14ac:dyDescent="0.25">
      <c r="A4" s="131"/>
      <c r="B4" s="137" t="s">
        <v>222</v>
      </c>
      <c r="C4" s="136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3"/>
      <c r="V4" s="133"/>
      <c r="W4" s="132"/>
      <c r="X4" s="132"/>
      <c r="Y4" s="132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</row>
    <row r="5" spans="1:58" ht="12" customHeight="1" x14ac:dyDescent="0.25">
      <c r="A5" s="131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2"/>
      <c r="AR5" s="132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</row>
    <row r="6" spans="1:58" x14ac:dyDescent="0.25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</row>
    <row r="7" spans="1: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</row>
    <row r="8" spans="1:58" ht="17.25" customHeight="1" x14ac:dyDescent="0.25">
      <c r="A8" s="1"/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"/>
      <c r="R8" s="1"/>
      <c r="S8" s="1"/>
      <c r="T8" s="1"/>
      <c r="U8" s="1"/>
      <c r="V8" s="1"/>
      <c r="W8" s="1"/>
      <c r="X8" s="1"/>
      <c r="Y8" s="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</row>
    <row r="9" spans="1:58" x14ac:dyDescent="0.25">
      <c r="A9" s="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"/>
      <c r="R9" s="1"/>
      <c r="S9" s="1"/>
      <c r="T9" s="1"/>
      <c r="U9" s="1"/>
      <c r="V9" s="1"/>
      <c r="W9" s="1"/>
      <c r="X9" s="1"/>
      <c r="Y9" s="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</row>
    <row r="10" spans="1:58" x14ac:dyDescent="0.25">
      <c r="A10" s="1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"/>
      <c r="R10" s="1"/>
      <c r="S10" s="1"/>
      <c r="T10" s="1"/>
      <c r="U10" s="1"/>
      <c r="V10" s="1"/>
      <c r="W10" s="1"/>
      <c r="X10" s="1"/>
      <c r="Y10" s="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</row>
    <row r="11" spans="1:58" ht="5.0999999999999996" customHeight="1" x14ac:dyDescent="0.25">
      <c r="A11" s="1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"/>
      <c r="R11" s="1"/>
      <c r="S11" s="1"/>
      <c r="T11" s="1"/>
      <c r="U11" s="1"/>
      <c r="V11" s="1"/>
      <c r="W11" s="1"/>
      <c r="X11" s="1"/>
      <c r="Y11" s="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</row>
    <row r="12" spans="1:58" x14ac:dyDescent="0.25">
      <c r="A12" s="1"/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"/>
      <c r="R12" s="1"/>
      <c r="S12" s="1"/>
      <c r="T12" s="1"/>
      <c r="U12" s="1"/>
      <c r="V12" s="1"/>
      <c r="W12" s="1"/>
      <c r="X12" s="1"/>
      <c r="Y12" s="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</row>
    <row r="13" spans="1:58" ht="5.0999999999999996" customHeight="1" x14ac:dyDescent="0.25">
      <c r="A13" s="1"/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"/>
      <c r="R13" s="1"/>
      <c r="S13" s="1"/>
      <c r="T13" s="1"/>
      <c r="U13" s="1"/>
      <c r="V13" s="1"/>
      <c r="W13" s="1"/>
      <c r="X13" s="1"/>
      <c r="Y13" s="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</row>
    <row r="14" spans="1:58" x14ac:dyDescent="0.25">
      <c r="A14" s="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"/>
      <c r="R14" s="1"/>
      <c r="S14" s="1"/>
      <c r="T14" s="1"/>
      <c r="U14" s="1"/>
      <c r="V14" s="1"/>
      <c r="W14" s="1"/>
      <c r="X14" s="1"/>
      <c r="Y14" s="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</row>
    <row r="15" spans="1:58" x14ac:dyDescent="0.25">
      <c r="A15" s="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"/>
      <c r="R15" s="1"/>
      <c r="S15" s="1"/>
      <c r="T15" s="1"/>
      <c r="U15" s="1"/>
      <c r="V15" s="1"/>
      <c r="W15" s="1"/>
      <c r="X15" s="1"/>
      <c r="Y15" s="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</row>
    <row r="16" spans="1:58" x14ac:dyDescent="0.25">
      <c r="A16" s="1"/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"/>
      <c r="R16" s="1"/>
      <c r="S16" s="1"/>
      <c r="T16" s="1"/>
      <c r="U16" s="1"/>
      <c r="V16" s="1"/>
      <c r="W16" s="1"/>
      <c r="X16" s="1"/>
      <c r="Y16" s="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</row>
    <row r="17" spans="1:42" ht="5.0999999999999996" customHeight="1" x14ac:dyDescent="0.25">
      <c r="A17" s="1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"/>
      <c r="R17" s="1"/>
      <c r="S17" s="1"/>
      <c r="T17" s="1"/>
      <c r="U17" s="1"/>
      <c r="V17" s="1"/>
      <c r="W17" s="1"/>
      <c r="X17" s="1"/>
      <c r="Y17" s="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</row>
    <row r="18" spans="1:42" x14ac:dyDescent="0.25">
      <c r="A18" s="1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"/>
      <c r="R18" s="1"/>
      <c r="S18" s="1"/>
      <c r="T18" s="1"/>
      <c r="U18" s="1"/>
      <c r="V18" s="1"/>
      <c r="W18" s="1"/>
      <c r="X18" s="1"/>
      <c r="Y18" s="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</row>
    <row r="19" spans="1:42" ht="5.0999999999999996" customHeight="1" x14ac:dyDescent="0.25">
      <c r="A19" s="1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"/>
      <c r="R19" s="1"/>
      <c r="S19" s="1"/>
      <c r="T19" s="1"/>
      <c r="U19" s="1"/>
      <c r="V19" s="1"/>
      <c r="W19" s="1"/>
      <c r="X19" s="1"/>
      <c r="Y19" s="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</row>
    <row r="20" spans="1:42" x14ac:dyDescent="0.25">
      <c r="A20" s="1"/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"/>
      <c r="R20" s="1"/>
      <c r="S20" s="1"/>
      <c r="T20" s="1"/>
      <c r="U20" s="1"/>
      <c r="V20" s="1"/>
      <c r="W20" s="1"/>
      <c r="X20" s="1"/>
      <c r="Y20" s="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</row>
    <row r="21" spans="1:42" ht="5.0999999999999996" customHeight="1" x14ac:dyDescent="0.25">
      <c r="A21" s="1"/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"/>
      <c r="R21" s="1"/>
      <c r="S21" s="1"/>
      <c r="T21" s="1"/>
      <c r="U21" s="1"/>
      <c r="V21" s="1"/>
      <c r="W21" s="1"/>
      <c r="X21" s="1"/>
      <c r="Y21" s="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</row>
    <row r="22" spans="1:42" x14ac:dyDescent="0.25">
      <c r="A22" s="1"/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"/>
      <c r="R22" s="1"/>
      <c r="S22" s="1"/>
      <c r="T22" s="1"/>
      <c r="U22" s="1"/>
      <c r="V22" s="1"/>
      <c r="W22" s="1"/>
      <c r="X22" s="1"/>
      <c r="Y22" s="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</row>
    <row r="23" spans="1:42" ht="5.0999999999999996" customHeight="1" x14ac:dyDescent="0.25">
      <c r="A23" s="1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"/>
      <c r="R23" s="1"/>
      <c r="S23" s="1"/>
      <c r="T23" s="1"/>
      <c r="U23" s="1"/>
      <c r="V23" s="1"/>
      <c r="W23" s="1"/>
      <c r="X23" s="1"/>
      <c r="Y23" s="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</row>
    <row r="24" spans="1:42" x14ac:dyDescent="0.25">
      <c r="A24" s="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"/>
      <c r="R24" s="1"/>
      <c r="S24" s="1"/>
      <c r="T24" s="1"/>
      <c r="U24" s="1"/>
      <c r="V24" s="1"/>
      <c r="W24" s="1"/>
      <c r="X24" s="1"/>
      <c r="Y24" s="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</row>
    <row r="25" spans="1:42" ht="5.0999999999999996" customHeight="1" x14ac:dyDescent="0.25">
      <c r="A25" s="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"/>
      <c r="R25" s="1"/>
      <c r="S25" s="1"/>
      <c r="T25" s="1"/>
      <c r="U25" s="1"/>
      <c r="V25" s="1"/>
      <c r="W25" s="1"/>
      <c r="X25" s="1"/>
      <c r="Y25" s="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</row>
    <row r="26" spans="1:42" x14ac:dyDescent="0.25">
      <c r="A26" s="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"/>
      <c r="R26" s="1"/>
      <c r="S26" s="1"/>
      <c r="T26" s="1"/>
      <c r="U26" s="1"/>
      <c r="V26" s="1"/>
      <c r="W26" s="1"/>
      <c r="X26" s="1"/>
      <c r="Y26" s="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</row>
    <row r="27" spans="1:42" x14ac:dyDescent="0.25">
      <c r="A27" s="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"/>
      <c r="R27" s="1"/>
      <c r="S27" s="1"/>
      <c r="T27" s="1"/>
      <c r="U27" s="1"/>
      <c r="V27" s="1"/>
      <c r="W27" s="1"/>
      <c r="X27" s="1"/>
      <c r="Y27" s="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</row>
    <row r="28" spans="1:42" x14ac:dyDescent="0.25">
      <c r="A28" s="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"/>
      <c r="R28" s="1"/>
      <c r="S28" s="1"/>
      <c r="T28" s="1"/>
      <c r="U28" s="1"/>
      <c r="V28" s="1"/>
      <c r="W28" s="1"/>
      <c r="X28" s="1"/>
      <c r="Y28" s="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</row>
    <row r="29" spans="1:42" x14ac:dyDescent="0.25">
      <c r="A29" s="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"/>
      <c r="R29" s="1"/>
      <c r="S29" s="1"/>
      <c r="T29" s="1"/>
      <c r="U29" s="1"/>
      <c r="V29" s="1"/>
      <c r="W29" s="1"/>
      <c r="X29" s="1"/>
      <c r="Y29" s="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</row>
    <row r="30" spans="1:42" ht="5.0999999999999996" customHeight="1" x14ac:dyDescent="0.25">
      <c r="A30" s="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"/>
      <c r="R30" s="1"/>
      <c r="S30" s="1"/>
      <c r="T30" s="1"/>
      <c r="U30" s="1"/>
      <c r="V30" s="1"/>
      <c r="W30" s="1"/>
      <c r="X30" s="1"/>
      <c r="Y30" s="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</row>
    <row r="31" spans="1:42" x14ac:dyDescent="0.25">
      <c r="A31" s="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"/>
      <c r="R31" s="1"/>
      <c r="S31" s="1"/>
      <c r="T31" s="1"/>
      <c r="U31" s="1"/>
      <c r="V31" s="1"/>
      <c r="W31" s="1"/>
      <c r="X31" s="1"/>
      <c r="Y31" s="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</row>
    <row r="32" spans="1:42" ht="5.0999999999999996" customHeight="1" x14ac:dyDescent="0.25">
      <c r="A32" s="1"/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"/>
      <c r="R32" s="1"/>
      <c r="S32" s="1"/>
      <c r="T32" s="1"/>
      <c r="U32" s="1"/>
      <c r="V32" s="1"/>
      <c r="W32" s="1"/>
      <c r="X32" s="1"/>
      <c r="Y32" s="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</row>
    <row r="33" spans="1:42" x14ac:dyDescent="0.25">
      <c r="A33" s="1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"/>
      <c r="R33" s="1"/>
      <c r="S33" s="1"/>
      <c r="T33" s="1"/>
      <c r="U33" s="1"/>
      <c r="V33" s="1"/>
      <c r="W33" s="1"/>
      <c r="X33" s="1"/>
      <c r="Y33" s="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</row>
    <row r="34" spans="1:42" ht="5.0999999999999996" customHeight="1" x14ac:dyDescent="0.25">
      <c r="A34" s="1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"/>
      <c r="R34" s="1"/>
      <c r="S34" s="1"/>
      <c r="T34" s="1"/>
      <c r="U34" s="1"/>
      <c r="V34" s="1"/>
      <c r="W34" s="1"/>
      <c r="X34" s="1"/>
      <c r="Y34" s="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</row>
    <row r="35" spans="1:42" x14ac:dyDescent="0.25">
      <c r="A35" s="1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"/>
      <c r="R35" s="1"/>
      <c r="S35" s="1"/>
      <c r="T35" s="1"/>
      <c r="U35" s="1"/>
      <c r="V35" s="1"/>
      <c r="W35" s="1"/>
      <c r="X35" s="1"/>
      <c r="Y35" s="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</row>
    <row r="36" spans="1:42" ht="12.75" customHeight="1" x14ac:dyDescent="0.25">
      <c r="A36" s="1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"/>
      <c r="R36" s="1"/>
      <c r="S36" s="1"/>
      <c r="T36" s="1"/>
      <c r="U36" s="1"/>
      <c r="V36" s="1"/>
      <c r="W36" s="1"/>
      <c r="X36" s="1"/>
      <c r="Y36" s="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</row>
    <row r="37" spans="1:42" ht="4.5" customHeight="1" x14ac:dyDescent="0.25">
      <c r="A37" s="1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"/>
      <c r="R37" s="1"/>
      <c r="S37" s="1"/>
      <c r="T37" s="1"/>
      <c r="U37" s="1"/>
      <c r="V37" s="1"/>
      <c r="W37" s="1"/>
      <c r="X37" s="1"/>
      <c r="Y37" s="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</row>
    <row r="38" spans="1:42" x14ac:dyDescent="0.25">
      <c r="A38" s="1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"/>
      <c r="R38" s="1"/>
      <c r="S38" s="1"/>
      <c r="T38" s="1"/>
      <c r="U38" s="1"/>
      <c r="V38" s="1"/>
      <c r="W38" s="1"/>
      <c r="X38" s="1"/>
      <c r="Y38" s="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</row>
    <row r="39" spans="1:42" ht="5.25" customHeight="1" x14ac:dyDescent="0.25">
      <c r="A39" s="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"/>
      <c r="R39" s="1"/>
      <c r="S39" s="1"/>
      <c r="T39" s="1"/>
      <c r="U39" s="1"/>
      <c r="V39" s="1"/>
      <c r="W39" s="1"/>
      <c r="X39" s="1"/>
      <c r="Y39" s="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</row>
    <row r="40" spans="1:42" x14ac:dyDescent="0.25">
      <c r="A40" s="1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"/>
      <c r="R40" s="1"/>
      <c r="S40" s="1"/>
      <c r="T40" s="1"/>
      <c r="U40" s="1"/>
      <c r="V40" s="1"/>
      <c r="W40" s="1"/>
      <c r="X40" s="1"/>
      <c r="Y40" s="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</row>
    <row r="41" spans="1:42" ht="4.5" customHeight="1" x14ac:dyDescent="0.25">
      <c r="A41" s="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"/>
      <c r="R41" s="1"/>
      <c r="S41" s="1"/>
      <c r="T41" s="1"/>
      <c r="U41" s="1"/>
      <c r="V41" s="1"/>
      <c r="W41" s="1"/>
      <c r="X41" s="1"/>
      <c r="Y41" s="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</row>
    <row r="42" spans="1:42" x14ac:dyDescent="0.25">
      <c r="A42" s="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"/>
      <c r="R42" s="1"/>
      <c r="S42" s="1"/>
      <c r="T42" s="1"/>
      <c r="U42" s="1"/>
      <c r="V42" s="1"/>
      <c r="W42" s="1"/>
      <c r="X42" s="1"/>
      <c r="Y42" s="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</row>
    <row r="43" spans="1:42" ht="5.25" customHeight="1" x14ac:dyDescent="0.25">
      <c r="A43" s="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"/>
      <c r="R43" s="1"/>
      <c r="S43" s="1"/>
      <c r="T43" s="1"/>
      <c r="U43" s="1"/>
      <c r="V43" s="1"/>
      <c r="W43" s="1"/>
      <c r="X43" s="1"/>
      <c r="Y43" s="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</row>
    <row r="44" spans="1:42" ht="4.5" customHeight="1" x14ac:dyDescent="0.25">
      <c r="A44" s="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"/>
      <c r="R44" s="1"/>
      <c r="S44" s="1"/>
      <c r="T44" s="1"/>
      <c r="U44" s="1"/>
      <c r="V44" s="1"/>
      <c r="W44" s="1"/>
      <c r="X44" s="1"/>
      <c r="Y44" s="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</row>
    <row r="45" spans="1:42" x14ac:dyDescent="0.25">
      <c r="A45" s="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"/>
      <c r="R45" s="1"/>
      <c r="S45" s="1"/>
      <c r="T45" s="1"/>
      <c r="U45" s="1"/>
      <c r="V45" s="1"/>
      <c r="W45" s="1"/>
      <c r="X45" s="1"/>
      <c r="Y45" s="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</row>
    <row r="46" spans="1:42" x14ac:dyDescent="0.25">
      <c r="A46" s="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"/>
      <c r="R46" s="1"/>
      <c r="S46" s="1"/>
      <c r="T46" s="1"/>
      <c r="U46" s="1"/>
      <c r="V46" s="1"/>
      <c r="W46" s="1"/>
      <c r="X46" s="1"/>
      <c r="Y46" s="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</row>
    <row r="47" spans="1:4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</row>
    <row r="48" spans="1:4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</row>
    <row r="49" spans="1:4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</row>
    <row r="50" spans="1:4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</row>
    <row r="51" spans="1:4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</row>
    <row r="52" spans="1:4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</row>
    <row r="53" spans="1:4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</row>
    <row r="54" spans="1:4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</row>
    <row r="55" spans="1:4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</row>
    <row r="56" spans="1:4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</row>
    <row r="57" spans="1:4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</row>
    <row r="58" spans="1:4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</row>
    <row r="59" spans="1:4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</row>
    <row r="60" spans="1:4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</row>
    <row r="61" spans="1:4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31"/>
      <c r="AJ61" s="131"/>
      <c r="AK61" s="131"/>
      <c r="AL61" s="131"/>
      <c r="AM61" s="131"/>
      <c r="AN61" s="131"/>
      <c r="AO61" s="131"/>
      <c r="AP61" s="131"/>
    </row>
    <row r="62" spans="1:4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31"/>
      <c r="AJ62" s="131"/>
      <c r="AK62" s="131"/>
      <c r="AL62" s="131"/>
      <c r="AM62" s="131"/>
      <c r="AN62" s="131"/>
      <c r="AO62" s="131"/>
      <c r="AP62" s="131"/>
    </row>
    <row r="63" spans="1:4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31"/>
      <c r="AJ63" s="131"/>
      <c r="AK63" s="131"/>
      <c r="AL63" s="131"/>
      <c r="AM63" s="131"/>
      <c r="AN63" s="131"/>
      <c r="AO63" s="131"/>
      <c r="AP63" s="131"/>
    </row>
    <row r="64" spans="1:4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31"/>
      <c r="AJ64" s="131"/>
      <c r="AK64" s="131"/>
      <c r="AL64" s="131"/>
      <c r="AM64" s="131"/>
      <c r="AN64" s="131"/>
      <c r="AO64" s="131"/>
      <c r="AP64" s="131"/>
    </row>
    <row r="65" spans="1:4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31"/>
      <c r="AJ65" s="131"/>
      <c r="AK65" s="131"/>
      <c r="AL65" s="131"/>
      <c r="AM65" s="131"/>
      <c r="AN65" s="131"/>
      <c r="AO65" s="131"/>
      <c r="AP65" s="131"/>
    </row>
    <row r="66" spans="1:4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31"/>
      <c r="AJ66" s="131"/>
      <c r="AK66" s="131"/>
      <c r="AL66" s="131"/>
      <c r="AM66" s="131"/>
      <c r="AN66" s="131"/>
      <c r="AO66" s="131"/>
      <c r="AP66" s="131"/>
    </row>
    <row r="67" spans="1:4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31"/>
      <c r="AJ67" s="131"/>
      <c r="AK67" s="131"/>
      <c r="AL67" s="131"/>
      <c r="AM67" s="131"/>
      <c r="AN67" s="131"/>
      <c r="AO67" s="131"/>
      <c r="AP67" s="131"/>
    </row>
    <row r="68" spans="1:4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31"/>
      <c r="AJ68" s="131"/>
      <c r="AK68" s="131"/>
      <c r="AL68" s="131"/>
      <c r="AM68" s="131"/>
      <c r="AN68" s="131"/>
      <c r="AO68" s="131"/>
      <c r="AP68" s="131"/>
    </row>
    <row r="69" spans="1:4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31"/>
      <c r="AJ69" s="131"/>
      <c r="AK69" s="131"/>
      <c r="AL69" s="131"/>
      <c r="AM69" s="131"/>
      <c r="AN69" s="131"/>
      <c r="AO69" s="131"/>
      <c r="AP69" s="131"/>
    </row>
    <row r="70" spans="1:4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31"/>
      <c r="AJ70" s="131"/>
      <c r="AK70" s="131"/>
      <c r="AL70" s="131"/>
      <c r="AM70" s="131"/>
      <c r="AN70" s="131"/>
      <c r="AO70" s="131"/>
      <c r="AP70" s="131"/>
    </row>
    <row r="71" spans="1:4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31"/>
      <c r="AJ71" s="131"/>
      <c r="AK71" s="131"/>
      <c r="AL71" s="131"/>
      <c r="AM71" s="131"/>
      <c r="AN71" s="131"/>
      <c r="AO71" s="131"/>
      <c r="AP71" s="131"/>
    </row>
    <row r="72" spans="1:4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31"/>
      <c r="AJ72" s="131"/>
      <c r="AK72" s="131"/>
      <c r="AL72" s="131"/>
      <c r="AM72" s="131"/>
      <c r="AN72" s="131"/>
      <c r="AO72" s="131"/>
      <c r="AP72" s="131"/>
    </row>
    <row r="73" spans="1:4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31"/>
      <c r="AJ73" s="131"/>
      <c r="AK73" s="131"/>
      <c r="AL73" s="131"/>
      <c r="AM73" s="131"/>
      <c r="AN73" s="131"/>
      <c r="AO73" s="131"/>
      <c r="AP73" s="131"/>
    </row>
    <row r="74" spans="1:4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31"/>
      <c r="AJ74" s="131"/>
      <c r="AK74" s="131"/>
      <c r="AL74" s="131"/>
      <c r="AM74" s="131"/>
      <c r="AN74" s="131"/>
      <c r="AO74" s="131"/>
      <c r="AP74" s="131"/>
    </row>
    <row r="75" spans="1:4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31"/>
      <c r="AJ75" s="131"/>
      <c r="AK75" s="131"/>
      <c r="AL75" s="131"/>
      <c r="AM75" s="131"/>
      <c r="AN75" s="131"/>
      <c r="AO75" s="131"/>
      <c r="AP75" s="131"/>
    </row>
    <row r="76" spans="1:4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31"/>
      <c r="AJ76" s="131"/>
      <c r="AK76" s="131"/>
      <c r="AL76" s="131"/>
      <c r="AM76" s="131"/>
      <c r="AN76" s="131"/>
      <c r="AO76" s="131"/>
      <c r="AP76" s="131"/>
    </row>
    <row r="77" spans="1:4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31"/>
      <c r="AJ77" s="131"/>
      <c r="AK77" s="131"/>
      <c r="AL77" s="131"/>
      <c r="AM77" s="131"/>
      <c r="AN77" s="131"/>
      <c r="AO77" s="131"/>
      <c r="AP77" s="131"/>
    </row>
    <row r="78" spans="1:4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K78" s="131"/>
      <c r="AL78" s="131"/>
      <c r="AM78" s="131"/>
      <c r="AN78" s="131"/>
      <c r="AO78" s="131"/>
      <c r="AP78" s="13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2C597-E28D-4A96-B0A9-B92C5FAED31E}">
  <sheetPr>
    <tabColor theme="8" tint="0.39997558519241921"/>
  </sheetPr>
  <dimension ref="A1:AB63"/>
  <sheetViews>
    <sheetView zoomScale="115" zoomScaleNormal="115" workbookViewId="0">
      <selection activeCell="E12" sqref="E12:E14"/>
    </sheetView>
  </sheetViews>
  <sheetFormatPr baseColWidth="10" defaultRowHeight="15" x14ac:dyDescent="0.25"/>
  <cols>
    <col min="1" max="1" width="4.5703125" customWidth="1"/>
    <col min="2" max="2" width="8.85546875" customWidth="1"/>
    <col min="3" max="3" width="9.42578125" customWidth="1"/>
    <col min="4" max="4" width="2" bestFit="1" customWidth="1"/>
    <col min="5" max="5" width="7.7109375" bestFit="1" customWidth="1"/>
    <col min="6" max="6" width="3" customWidth="1"/>
    <col min="7" max="7" width="9.7109375" customWidth="1"/>
    <col min="8" max="8" width="1.7109375" bestFit="1" customWidth="1"/>
    <col min="11" max="11" width="3.42578125" customWidth="1"/>
    <col min="12" max="12" width="6.285156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7.25" customHeight="1" x14ac:dyDescent="0.25">
      <c r="A2" s="1"/>
      <c r="B2" s="160" t="s">
        <v>202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16" t="s">
        <v>159</v>
      </c>
      <c r="C4" s="1" t="s">
        <v>130</v>
      </c>
      <c r="D4" s="1" t="s">
        <v>156</v>
      </c>
      <c r="E4" s="1" t="s">
        <v>158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5.0999999999999996" customHeight="1" x14ac:dyDescent="0.25">
      <c r="A5" s="1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3" t="s">
        <v>157</v>
      </c>
      <c r="C6" s="103">
        <v>10</v>
      </c>
      <c r="D6" s="1"/>
      <c r="E6" s="103">
        <v>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5.0999999999999996" customHeight="1" x14ac:dyDescent="0.25">
      <c r="A7" s="1"/>
      <c r="B7" s="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3" t="s">
        <v>157</v>
      </c>
      <c r="C8" s="103">
        <f>+C6+E6</f>
        <v>13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16" t="s">
        <v>159</v>
      </c>
      <c r="C10" s="1" t="s">
        <v>130</v>
      </c>
      <c r="D10" s="1" t="s">
        <v>156</v>
      </c>
      <c r="E10" s="1" t="s">
        <v>160</v>
      </c>
      <c r="F10" s="1"/>
      <c r="G10" s="1"/>
      <c r="H10" s="24"/>
      <c r="I10" s="106" t="s">
        <v>164</v>
      </c>
      <c r="J10" s="107"/>
      <c r="K10" s="107"/>
      <c r="L10" s="1"/>
      <c r="M10" s="1" t="s">
        <v>165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5.0999999999999996" customHeight="1" x14ac:dyDescent="0.25">
      <c r="A11" s="1"/>
      <c r="B11" s="3"/>
      <c r="C11" s="1"/>
      <c r="D11" s="1"/>
      <c r="E11" s="1"/>
      <c r="F11" s="1"/>
      <c r="G11" s="1"/>
      <c r="H11" s="1"/>
      <c r="I11" s="10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3" t="s">
        <v>157</v>
      </c>
      <c r="C12" s="103">
        <v>10</v>
      </c>
      <c r="D12" s="1"/>
      <c r="E12" s="105">
        <v>0.5</v>
      </c>
      <c r="F12" s="1"/>
      <c r="G12" s="1"/>
      <c r="H12" s="1"/>
      <c r="I12" s="109" t="s">
        <v>161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5.0999999999999996" customHeight="1" x14ac:dyDescent="0.25">
      <c r="A13" s="1"/>
      <c r="B13" s="3"/>
      <c r="C13" s="1"/>
      <c r="D13" s="1"/>
      <c r="E13" s="1"/>
      <c r="F13" s="1"/>
      <c r="G13" s="1"/>
      <c r="H13" s="1"/>
      <c r="I13" s="10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3" t="s">
        <v>157</v>
      </c>
      <c r="C14" s="103">
        <v>10</v>
      </c>
      <c r="D14" s="1"/>
      <c r="E14" s="110">
        <f>+C12*E12</f>
        <v>5</v>
      </c>
      <c r="F14" s="1"/>
      <c r="G14" s="1"/>
      <c r="H14" s="1"/>
      <c r="I14" s="109" t="s">
        <v>162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5.0999999999999996" customHeight="1" x14ac:dyDescent="0.25">
      <c r="A15" s="1"/>
      <c r="B15" s="3"/>
      <c r="C15" s="1"/>
      <c r="D15" s="1"/>
      <c r="E15" s="1"/>
      <c r="F15" s="1"/>
      <c r="G15" s="1"/>
      <c r="H15" s="1"/>
      <c r="I15" s="10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3" t="s">
        <v>157</v>
      </c>
      <c r="C16" s="103">
        <v>10</v>
      </c>
      <c r="D16" s="1"/>
      <c r="E16" s="105">
        <f>+(1+E12)</f>
        <v>1.5</v>
      </c>
      <c r="F16" s="1"/>
      <c r="G16" s="1"/>
      <c r="H16" s="1"/>
      <c r="I16" s="109" t="s">
        <v>163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5.0999999999999996" customHeight="1" x14ac:dyDescent="0.25">
      <c r="A17" s="1"/>
      <c r="B17" s="3"/>
      <c r="C17" s="1"/>
      <c r="D17" s="1"/>
      <c r="E17" s="1"/>
      <c r="F17" s="1"/>
      <c r="G17" s="1"/>
      <c r="H17" s="1"/>
      <c r="I17" s="10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3" t="s">
        <v>157</v>
      </c>
      <c r="C18" s="102">
        <f>C12*(1+E12)</f>
        <v>15</v>
      </c>
      <c r="D18" s="1"/>
      <c r="E18" s="1"/>
      <c r="F18" s="1"/>
      <c r="G18" s="1"/>
      <c r="H18" s="1"/>
      <c r="I18" s="109" t="s">
        <v>163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5.0999999999999996" customHeight="1" x14ac:dyDescent="0.25">
      <c r="A19" s="1"/>
      <c r="B19" s="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3"/>
      <c r="C20" s="1"/>
      <c r="D20" s="1"/>
      <c r="E20" s="1"/>
      <c r="F20" s="1"/>
      <c r="G20" s="1"/>
      <c r="H20" s="1"/>
      <c r="I20" s="2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3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17" t="s">
        <v>155</v>
      </c>
      <c r="C23" s="1" t="s">
        <v>130</v>
      </c>
      <c r="D23" s="1" t="s">
        <v>156</v>
      </c>
      <c r="E23" s="104" t="s">
        <v>160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5.0999999999999996" customHeight="1" x14ac:dyDescent="0.25">
      <c r="A24" s="1"/>
      <c r="B24" s="3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3" t="s">
        <v>166</v>
      </c>
      <c r="C25" s="4" t="s">
        <v>167</v>
      </c>
      <c r="D25" s="1" t="s">
        <v>156</v>
      </c>
      <c r="E25" s="1" t="s">
        <v>168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5.0999999999999996" customHeight="1" x14ac:dyDescent="0.25">
      <c r="A26" s="1"/>
      <c r="B26" s="3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3" t="s">
        <v>166</v>
      </c>
      <c r="C27" s="4" t="s">
        <v>167</v>
      </c>
      <c r="D27" s="1" t="s">
        <v>169</v>
      </c>
      <c r="E27" s="1" t="s">
        <v>170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5.0999999999999996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 t="s">
        <v>53</v>
      </c>
      <c r="F29" s="1" t="s">
        <v>157</v>
      </c>
      <c r="G29" s="113" t="s">
        <v>171</v>
      </c>
      <c r="H29" s="1" t="s">
        <v>172</v>
      </c>
      <c r="I29" s="111">
        <v>1</v>
      </c>
      <c r="J29" s="1"/>
      <c r="K29" s="1"/>
      <c r="L29" s="1"/>
      <c r="M29" s="1" t="s">
        <v>173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2.75" customHeight="1" x14ac:dyDescent="0.25">
      <c r="A30" s="1"/>
      <c r="B30" s="1"/>
      <c r="C30" s="1"/>
      <c r="D30" s="1"/>
      <c r="E30" s="1"/>
      <c r="F30" s="1"/>
      <c r="G30" s="4" t="s">
        <v>167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4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 t="s">
        <v>53</v>
      </c>
      <c r="F32" s="1" t="s">
        <v>157</v>
      </c>
      <c r="G32" s="114">
        <v>350</v>
      </c>
      <c r="H32" s="1" t="s">
        <v>172</v>
      </c>
      <c r="I32" s="111">
        <v>1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5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14">
        <v>198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4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 t="s">
        <v>53</v>
      </c>
      <c r="F36" s="1" t="s">
        <v>157</v>
      </c>
      <c r="G36" s="115">
        <f>(G32/G34)-1</f>
        <v>0.76767676767676774</v>
      </c>
      <c r="H36" s="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5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4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</sheetData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AE4D4-A0D4-40BA-A8C9-1120073DA5E8}">
  <sheetPr>
    <tabColor theme="8" tint="0.39997558519241921"/>
  </sheetPr>
  <dimension ref="A1:AL60"/>
  <sheetViews>
    <sheetView topLeftCell="A3" zoomScale="130" zoomScaleNormal="130" workbookViewId="0">
      <selection activeCell="G37" sqref="G37"/>
    </sheetView>
  </sheetViews>
  <sheetFormatPr baseColWidth="10" defaultRowHeight="15" x14ac:dyDescent="0.25"/>
  <cols>
    <col min="1" max="1" width="4.5703125" customWidth="1"/>
    <col min="2" max="2" width="8.85546875" customWidth="1"/>
    <col min="3" max="3" width="7.42578125" bestFit="1" customWidth="1"/>
    <col min="4" max="4" width="2" bestFit="1" customWidth="1"/>
    <col min="5" max="5" width="7.7109375" bestFit="1" customWidth="1"/>
    <col min="6" max="6" width="3" customWidth="1"/>
    <col min="7" max="7" width="5.85546875" customWidth="1"/>
    <col min="8" max="8" width="1.7109375" bestFit="1" customWidth="1"/>
    <col min="11" max="11" width="3.42578125" customWidth="1"/>
    <col min="12" max="12" width="2.7109375" customWidth="1"/>
    <col min="13" max="13" width="7.28515625" customWidth="1"/>
    <col min="14" max="14" width="6.42578125" customWidth="1"/>
    <col min="15" max="15" width="2" bestFit="1" customWidth="1"/>
    <col min="16" max="16" width="6.140625" customWidth="1"/>
    <col min="17" max="17" width="1.5703125" customWidth="1"/>
    <col min="18" max="18" width="7.140625" customWidth="1"/>
  </cols>
  <sheetData>
    <row r="1" spans="1:3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"/>
      <c r="B2" s="160" t="s">
        <v>202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"/>
      <c r="B4" s="116" t="s">
        <v>159</v>
      </c>
      <c r="C4" s="1" t="s">
        <v>130</v>
      </c>
      <c r="D4" s="1" t="s">
        <v>156</v>
      </c>
      <c r="E4" s="1" t="s">
        <v>158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5.0999999999999996" customHeight="1" x14ac:dyDescent="0.25">
      <c r="A5" s="1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"/>
      <c r="B6" s="3" t="s">
        <v>157</v>
      </c>
      <c r="C6" s="103">
        <v>10</v>
      </c>
      <c r="D6" s="1"/>
      <c r="E6" s="103">
        <v>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5.0999999999999996" customHeight="1" x14ac:dyDescent="0.25">
      <c r="A7" s="1"/>
      <c r="B7" s="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1"/>
      <c r="B8" s="3" t="s">
        <v>157</v>
      </c>
      <c r="C8" s="103">
        <f>+C6+E6</f>
        <v>13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1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1"/>
      <c r="B10" s="116" t="s">
        <v>159</v>
      </c>
      <c r="C10" s="1" t="s">
        <v>130</v>
      </c>
      <c r="D10" s="1" t="s">
        <v>156</v>
      </c>
      <c r="E10" s="1" t="s">
        <v>160</v>
      </c>
      <c r="F10" s="1"/>
      <c r="G10" s="1"/>
      <c r="H10" s="24"/>
      <c r="I10" s="106" t="s">
        <v>164</v>
      </c>
      <c r="J10" s="107"/>
      <c r="K10" s="107"/>
      <c r="L10" s="107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5.0999999999999996" customHeight="1" x14ac:dyDescent="0.25">
      <c r="A11" s="1"/>
      <c r="B11" s="3"/>
      <c r="C11" s="1"/>
      <c r="D11" s="1"/>
      <c r="E11" s="1"/>
      <c r="F11" s="1"/>
      <c r="G11" s="1"/>
      <c r="H11" s="1"/>
      <c r="I11" s="10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"/>
      <c r="B12" s="3" t="s">
        <v>157</v>
      </c>
      <c r="C12" s="103">
        <v>10</v>
      </c>
      <c r="D12" s="1" t="s">
        <v>156</v>
      </c>
      <c r="E12" s="105">
        <v>0.25</v>
      </c>
      <c r="F12" s="1"/>
      <c r="G12" s="1"/>
      <c r="H12" s="1"/>
      <c r="I12" s="109" t="s">
        <v>161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5.0999999999999996" customHeight="1" x14ac:dyDescent="0.25">
      <c r="A13" s="1"/>
      <c r="B13" s="3"/>
      <c r="C13" s="1"/>
      <c r="D13" s="1"/>
      <c r="E13" s="1"/>
      <c r="F13" s="1"/>
      <c r="G13" s="1"/>
      <c r="H13" s="1"/>
      <c r="I13" s="10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"/>
      <c r="B14" s="3" t="s">
        <v>157</v>
      </c>
      <c r="C14" s="103">
        <v>10</v>
      </c>
      <c r="D14" s="1" t="s">
        <v>156</v>
      </c>
      <c r="E14" s="110">
        <f>+C12*E12</f>
        <v>2.5</v>
      </c>
      <c r="F14" s="1"/>
      <c r="G14" s="1"/>
      <c r="H14" s="1"/>
      <c r="I14" s="109" t="s">
        <v>162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5.0999999999999996" customHeight="1" x14ac:dyDescent="0.25">
      <c r="A15" s="1"/>
      <c r="B15" s="3"/>
      <c r="C15" s="1"/>
      <c r="D15" s="1"/>
      <c r="E15" s="1"/>
      <c r="F15" s="1"/>
      <c r="G15" s="1"/>
      <c r="H15" s="1"/>
      <c r="I15" s="10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"/>
      <c r="B16" s="3" t="s">
        <v>157</v>
      </c>
      <c r="C16" s="103">
        <v>10</v>
      </c>
      <c r="D16" s="1" t="s">
        <v>156</v>
      </c>
      <c r="E16" s="105">
        <f>+(1+E12)</f>
        <v>1.25</v>
      </c>
      <c r="F16" s="1"/>
      <c r="G16" s="1"/>
      <c r="H16" s="1"/>
      <c r="I16" s="109" t="s">
        <v>163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5.0999999999999996" customHeight="1" x14ac:dyDescent="0.25">
      <c r="A17" s="1"/>
      <c r="B17" s="3"/>
      <c r="C17" s="1"/>
      <c r="D17" s="1"/>
      <c r="E17" s="1"/>
      <c r="F17" s="1"/>
      <c r="G17" s="1"/>
      <c r="H17" s="1"/>
      <c r="I17" s="10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"/>
      <c r="B18" s="3" t="s">
        <v>157</v>
      </c>
      <c r="C18" s="102">
        <f>C12*(1+E12)</f>
        <v>12.5</v>
      </c>
      <c r="D18" s="1"/>
      <c r="E18" s="1"/>
      <c r="F18" s="1"/>
      <c r="G18" s="1"/>
      <c r="H18" s="1"/>
      <c r="I18" s="109" t="s">
        <v>163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5.0999999999999996" customHeight="1" x14ac:dyDescent="0.25">
      <c r="A19" s="1"/>
      <c r="B19" s="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07"/>
      <c r="B20" s="118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"/>
      <c r="B21" s="3"/>
      <c r="C21" s="1"/>
      <c r="D21" s="1"/>
      <c r="E21" s="1"/>
      <c r="F21" s="1"/>
      <c r="G21" s="1"/>
      <c r="H21" s="1"/>
      <c r="I21" s="1"/>
      <c r="J21" s="1"/>
      <c r="K21" s="1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"/>
      <c r="B22" s="162" t="s">
        <v>175</v>
      </c>
      <c r="C22" s="162"/>
      <c r="D22" s="162"/>
      <c r="E22" s="162"/>
      <c r="F22" s="162"/>
      <c r="G22" s="162"/>
      <c r="H22" s="162"/>
      <c r="I22" s="162"/>
      <c r="J22" s="163"/>
      <c r="K22" s="161" t="s">
        <v>174</v>
      </c>
      <c r="L22" s="162"/>
      <c r="M22" s="162"/>
      <c r="N22" s="162"/>
      <c r="O22" s="162"/>
      <c r="P22" s="162"/>
      <c r="Q22" s="16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5.0999999999999996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1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"/>
      <c r="B24" s="116" t="s">
        <v>159</v>
      </c>
      <c r="C24" s="1" t="s">
        <v>130</v>
      </c>
      <c r="D24" s="1" t="s">
        <v>156</v>
      </c>
      <c r="E24" s="1" t="s">
        <v>158</v>
      </c>
      <c r="F24" s="1"/>
      <c r="G24" s="1"/>
      <c r="H24" s="1"/>
      <c r="I24" s="1"/>
      <c r="J24" s="1"/>
      <c r="K24" s="119"/>
      <c r="L24" s="1"/>
      <c r="M24" s="116" t="s">
        <v>159</v>
      </c>
      <c r="N24" s="1" t="s">
        <v>130</v>
      </c>
      <c r="O24" s="1" t="s">
        <v>156</v>
      </c>
      <c r="P24" s="1" t="s">
        <v>158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5.0999999999999996" customHeight="1" x14ac:dyDescent="0.25">
      <c r="A25" s="1"/>
      <c r="B25" s="3"/>
      <c r="C25" s="1"/>
      <c r="D25" s="1"/>
      <c r="E25" s="1"/>
      <c r="F25" s="1"/>
      <c r="G25" s="1"/>
      <c r="H25" s="1"/>
      <c r="I25" s="1"/>
      <c r="J25" s="1"/>
      <c r="K25" s="119"/>
      <c r="L25" s="1"/>
      <c r="M25" s="3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"/>
      <c r="B26" s="3" t="s">
        <v>157</v>
      </c>
      <c r="C26" s="103">
        <v>10</v>
      </c>
      <c r="D26" s="1" t="s">
        <v>156</v>
      </c>
      <c r="E26" s="103">
        <v>3</v>
      </c>
      <c r="F26" s="1"/>
      <c r="G26" s="1"/>
      <c r="H26" s="1"/>
      <c r="I26" s="1"/>
      <c r="J26" s="1"/>
      <c r="K26" s="119"/>
      <c r="L26" s="1"/>
      <c r="M26" s="3" t="s">
        <v>157</v>
      </c>
      <c r="N26" s="103">
        <f>+R35</f>
        <v>26</v>
      </c>
      <c r="O26" s="1" t="s">
        <v>156</v>
      </c>
      <c r="P26" s="103">
        <v>13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5.0999999999999996" customHeight="1" x14ac:dyDescent="0.25">
      <c r="A27" s="1"/>
      <c r="B27" s="3"/>
      <c r="C27" s="1"/>
      <c r="D27" s="1"/>
      <c r="E27" s="1"/>
      <c r="F27" s="1"/>
      <c r="G27" s="1"/>
      <c r="H27" s="1"/>
      <c r="I27" s="1"/>
      <c r="J27" s="1"/>
      <c r="K27" s="119"/>
      <c r="L27" s="1"/>
      <c r="M27" s="3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"/>
      <c r="B28" s="3" t="s">
        <v>157</v>
      </c>
      <c r="C28" s="103">
        <f>+C26+E26</f>
        <v>13</v>
      </c>
      <c r="D28" s="1"/>
      <c r="E28" s="1"/>
      <c r="F28" s="1"/>
      <c r="G28" s="1"/>
      <c r="H28" s="1"/>
      <c r="I28" s="1"/>
      <c r="J28" s="1"/>
      <c r="K28" s="119"/>
      <c r="L28" s="1"/>
      <c r="M28" s="3" t="s">
        <v>157</v>
      </c>
      <c r="N28" s="103">
        <f>+N26+P26</f>
        <v>39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2.75" customHeight="1" x14ac:dyDescent="0.25">
      <c r="A29" s="1"/>
      <c r="B29" s="3"/>
      <c r="C29" s="1"/>
      <c r="D29" s="1"/>
      <c r="E29" s="1"/>
      <c r="F29" s="1"/>
      <c r="G29" s="1"/>
      <c r="H29" s="1"/>
      <c r="I29" s="1"/>
      <c r="J29" s="1"/>
      <c r="K29" s="11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4.5" customHeight="1" x14ac:dyDescent="0.25">
      <c r="A30" s="1"/>
      <c r="B30" s="3"/>
      <c r="C30" s="1"/>
      <c r="D30" s="1"/>
      <c r="E30" s="1"/>
      <c r="F30" s="1"/>
      <c r="G30" s="1"/>
      <c r="H30" s="1"/>
      <c r="I30" s="1"/>
      <c r="J30" s="1"/>
      <c r="K30" s="119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"/>
      <c r="B31" s="3" t="s">
        <v>176</v>
      </c>
      <c r="C31" s="1" t="s">
        <v>177</v>
      </c>
      <c r="D31" s="1"/>
      <c r="E31" s="1"/>
      <c r="F31" s="1"/>
      <c r="G31" s="1"/>
      <c r="H31" s="1"/>
      <c r="I31" s="1"/>
      <c r="J31" s="1"/>
      <c r="K31" s="119"/>
      <c r="L31" s="1"/>
      <c r="M31" s="1" t="s">
        <v>176</v>
      </c>
      <c r="N31" s="1" t="s">
        <v>178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5.25" customHeight="1" x14ac:dyDescent="0.25">
      <c r="A32" s="1"/>
      <c r="B32" s="3"/>
      <c r="C32" s="1"/>
      <c r="D32" s="1"/>
      <c r="E32" s="1"/>
      <c r="F32" s="1"/>
      <c r="G32" s="1"/>
      <c r="H32" s="1"/>
      <c r="I32" s="1"/>
      <c r="J32" s="1"/>
      <c r="K32" s="119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"/>
      <c r="B33" s="3" t="s">
        <v>176</v>
      </c>
      <c r="C33" s="1" t="s">
        <v>179</v>
      </c>
      <c r="D33" s="1"/>
      <c r="E33" s="1"/>
      <c r="F33" s="1"/>
      <c r="G33" s="1"/>
      <c r="H33" s="1"/>
      <c r="I33" s="1"/>
      <c r="J33" s="1"/>
      <c r="K33" s="119"/>
      <c r="L33" s="1"/>
      <c r="M33" s="1" t="s">
        <v>176</v>
      </c>
      <c r="N33" s="1" t="s">
        <v>181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4.5" customHeight="1" x14ac:dyDescent="0.25">
      <c r="A34" s="1"/>
      <c r="B34" s="3"/>
      <c r="C34" s="1"/>
      <c r="D34" s="1"/>
      <c r="E34" s="1"/>
      <c r="F34" s="1"/>
      <c r="G34" s="1"/>
      <c r="H34" s="1"/>
      <c r="I34" s="1"/>
      <c r="J34" s="1"/>
      <c r="K34" s="119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"/>
      <c r="B35" s="3" t="s">
        <v>176</v>
      </c>
      <c r="C35" s="103">
        <v>10</v>
      </c>
      <c r="D35" s="1" t="s">
        <v>156</v>
      </c>
      <c r="E35" s="103">
        <v>10</v>
      </c>
      <c r="F35" s="1"/>
      <c r="G35" s="1"/>
      <c r="H35" s="1"/>
      <c r="I35" s="1"/>
      <c r="J35" s="1"/>
      <c r="K35" s="119"/>
      <c r="L35" s="1"/>
      <c r="M35" s="1" t="s">
        <v>176</v>
      </c>
      <c r="N35" s="103">
        <v>13</v>
      </c>
      <c r="O35" s="1" t="s">
        <v>156</v>
      </c>
      <c r="P35" s="103">
        <v>13</v>
      </c>
      <c r="Q35" s="1" t="s">
        <v>157</v>
      </c>
      <c r="R35" s="103">
        <f>P35+N35</f>
        <v>26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4.5" customHeight="1" x14ac:dyDescent="0.25">
      <c r="A36" s="1"/>
      <c r="B36" s="3"/>
      <c r="C36" s="1"/>
      <c r="D36" s="1"/>
      <c r="E36" s="1"/>
      <c r="F36" s="1"/>
      <c r="G36" s="1"/>
      <c r="H36" s="1"/>
      <c r="I36" s="1"/>
      <c r="J36" s="1"/>
      <c r="K36" s="119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"/>
      <c r="B37" s="3" t="s">
        <v>176</v>
      </c>
      <c r="C37" s="103">
        <f>+C35+E35</f>
        <v>20</v>
      </c>
      <c r="D37" s="1"/>
      <c r="E37" s="1"/>
      <c r="F37" s="1"/>
      <c r="G37" s="1"/>
      <c r="H37" s="1"/>
      <c r="I37" s="1"/>
      <c r="J37" s="1"/>
      <c r="K37" s="119"/>
      <c r="L37" s="1"/>
      <c r="M37" s="3" t="s">
        <v>180</v>
      </c>
      <c r="N37" s="105">
        <f>(N28/N26)-1</f>
        <v>0.5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19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19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19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19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19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19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19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19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19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</sheetData>
  <mergeCells count="3">
    <mergeCell ref="K22:Q22"/>
    <mergeCell ref="B22:J22"/>
    <mergeCell ref="B2:T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17325-F387-4F38-B539-9997EF7A9DA1}">
  <sheetPr>
    <tabColor theme="8" tint="0.39997558519241921"/>
  </sheetPr>
  <dimension ref="A1:Y40"/>
  <sheetViews>
    <sheetView zoomScale="115" zoomScaleNormal="115" workbookViewId="0">
      <selection activeCell="D6" sqref="D6"/>
    </sheetView>
  </sheetViews>
  <sheetFormatPr baseColWidth="10" defaultRowHeight="15" x14ac:dyDescent="0.25"/>
  <cols>
    <col min="1" max="1" width="5" customWidth="1"/>
    <col min="2" max="2" width="16.42578125" bestFit="1" customWidth="1"/>
    <col min="3" max="3" width="26" style="16" customWidth="1"/>
    <col min="4" max="4" width="8.5703125" customWidth="1"/>
    <col min="5" max="5" width="3" bestFit="1" customWidth="1"/>
    <col min="8" max="8" width="5.28515625" customWidth="1"/>
    <col min="10" max="10" width="23.5703125" bestFit="1" customWidth="1"/>
    <col min="11" max="11" width="14.7109375" customWidth="1"/>
    <col min="12" max="12" width="4" customWidth="1"/>
    <col min="13" max="13" width="6.140625" customWidth="1"/>
    <col min="14" max="15" width="3" bestFit="1" customWidth="1"/>
  </cols>
  <sheetData>
    <row r="1" spans="1:25" x14ac:dyDescent="0.25">
      <c r="A1" s="1"/>
      <c r="B1" s="1"/>
      <c r="C1" s="1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1"/>
      <c r="B2" s="160" t="s">
        <v>193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1"/>
      <c r="B3" s="1"/>
      <c r="C3" s="15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1"/>
      <c r="B4" s="11" t="s">
        <v>28</v>
      </c>
      <c r="C4" s="167" t="s">
        <v>33</v>
      </c>
      <c r="D4" s="168"/>
      <c r="E4" s="168"/>
      <c r="F4" s="168"/>
      <c r="G4" s="168"/>
      <c r="H4" s="168"/>
      <c r="I4" s="168"/>
      <c r="J4" s="168"/>
      <c r="K4" s="169"/>
      <c r="L4" s="1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5">
      <c r="A5" s="1"/>
      <c r="B5" s="1"/>
      <c r="C5" s="18"/>
      <c r="D5" s="15"/>
      <c r="E5" s="15"/>
      <c r="F5" s="15"/>
      <c r="G5" s="15"/>
      <c r="H5" s="15"/>
      <c r="I5" s="15"/>
      <c r="J5" s="15"/>
      <c r="K5" s="15"/>
      <c r="L5" s="1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5">
      <c r="A6" s="1"/>
      <c r="B6" s="1"/>
      <c r="C6" s="120" t="s">
        <v>182</v>
      </c>
      <c r="D6" s="121">
        <v>1</v>
      </c>
      <c r="E6" s="1" t="s">
        <v>183</v>
      </c>
      <c r="F6" s="15"/>
      <c r="G6" s="15"/>
      <c r="H6" s="15"/>
      <c r="I6" s="15"/>
      <c r="J6" s="15"/>
      <c r="K6" s="15"/>
      <c r="L6" s="1"/>
      <c r="M6" s="3"/>
      <c r="N6" s="164" t="s">
        <v>192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1"/>
      <c r="B7" s="1"/>
      <c r="C7" s="18"/>
      <c r="D7" s="15"/>
      <c r="E7" s="15"/>
      <c r="F7" s="15"/>
      <c r="G7" s="15"/>
      <c r="H7" s="15"/>
      <c r="I7" s="15"/>
      <c r="J7" s="15"/>
      <c r="K7" s="15"/>
      <c r="L7" s="1"/>
      <c r="M7" s="3"/>
      <c r="N7" s="165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25">
      <c r="A8" s="1"/>
      <c r="B8" s="11" t="s">
        <v>29</v>
      </c>
      <c r="C8" s="170" t="s">
        <v>30</v>
      </c>
      <c r="D8" s="171"/>
      <c r="E8" s="171"/>
      <c r="F8" s="171"/>
      <c r="G8" s="171"/>
      <c r="H8" s="171"/>
      <c r="I8" s="171"/>
      <c r="J8" s="171"/>
      <c r="K8" s="172"/>
      <c r="L8" s="1"/>
      <c r="M8" s="3"/>
      <c r="N8" s="165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x14ac:dyDescent="0.25">
      <c r="A9" s="1"/>
      <c r="B9" s="1"/>
      <c r="C9" s="18"/>
      <c r="D9" s="15"/>
      <c r="E9" s="15"/>
      <c r="F9" s="15"/>
      <c r="G9" s="15"/>
      <c r="H9" s="15"/>
      <c r="I9" s="15"/>
      <c r="J9" s="15"/>
      <c r="K9" s="15"/>
      <c r="L9" s="1"/>
      <c r="M9" s="3"/>
      <c r="N9" s="165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25">
      <c r="A10" s="1"/>
      <c r="B10" s="1"/>
      <c r="C10" s="120" t="s">
        <v>155</v>
      </c>
      <c r="D10" s="103">
        <v>80</v>
      </c>
      <c r="E10" s="1" t="str">
        <f>"/unidad"</f>
        <v>/unidad</v>
      </c>
      <c r="F10" s="1"/>
      <c r="G10" s="1"/>
      <c r="H10" s="1"/>
      <c r="I10" s="1"/>
      <c r="J10" s="1"/>
      <c r="K10" s="15"/>
      <c r="L10" s="1"/>
      <c r="M10" s="3"/>
      <c r="N10" s="16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25">
      <c r="A11" s="1"/>
      <c r="B11" s="1"/>
      <c r="C11" s="18"/>
      <c r="D11" s="15"/>
      <c r="E11" s="15"/>
      <c r="F11" s="15"/>
      <c r="G11" s="15"/>
      <c r="H11" s="15"/>
      <c r="I11" s="15"/>
      <c r="J11" s="15"/>
      <c r="K11" s="15"/>
      <c r="L11" s="1"/>
      <c r="M11" s="3"/>
      <c r="N11" s="165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x14ac:dyDescent="0.25">
      <c r="A12" s="1"/>
      <c r="B12" s="101" t="s">
        <v>185</v>
      </c>
      <c r="C12" s="170" t="s">
        <v>186</v>
      </c>
      <c r="D12" s="171"/>
      <c r="E12" s="171"/>
      <c r="F12" s="171"/>
      <c r="G12" s="171"/>
      <c r="H12" s="171"/>
      <c r="I12" s="171"/>
      <c r="J12" s="171"/>
      <c r="K12" s="172"/>
      <c r="L12" s="1"/>
      <c r="M12" s="3"/>
      <c r="N12" s="16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25">
      <c r="A13" s="1"/>
      <c r="B13" s="1"/>
      <c r="C13" s="18"/>
      <c r="D13" s="15"/>
      <c r="E13" s="15"/>
      <c r="F13" s="15"/>
      <c r="G13" s="15"/>
      <c r="H13" s="15"/>
      <c r="I13" s="15"/>
      <c r="J13" s="15"/>
      <c r="K13" s="15"/>
      <c r="L13" s="1"/>
      <c r="M13" s="1"/>
      <c r="N13" s="16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25">
      <c r="A14" s="1"/>
      <c r="B14" s="1"/>
      <c r="C14" s="120" t="s">
        <v>187</v>
      </c>
      <c r="D14" s="122">
        <v>0.25</v>
      </c>
      <c r="E14" s="1" t="s">
        <v>183</v>
      </c>
      <c r="F14" s="1"/>
      <c r="G14" s="1"/>
      <c r="H14" s="1"/>
      <c r="I14" s="1"/>
      <c r="J14" s="1"/>
      <c r="K14" s="15"/>
      <c r="L14" s="1"/>
      <c r="M14" s="1"/>
      <c r="N14" s="16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1"/>
      <c r="B15" s="1"/>
      <c r="C15" s="18"/>
      <c r="D15" s="15"/>
      <c r="E15" s="15"/>
      <c r="F15" s="15"/>
      <c r="G15" s="15"/>
      <c r="H15" s="15"/>
      <c r="I15" s="15"/>
      <c r="J15" s="15"/>
      <c r="K15" s="15"/>
      <c r="L15" s="1"/>
      <c r="M15" s="1"/>
      <c r="N15" s="16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1"/>
      <c r="B16" s="11" t="s">
        <v>31</v>
      </c>
      <c r="C16" s="170" t="s">
        <v>32</v>
      </c>
      <c r="D16" s="171"/>
      <c r="E16" s="171"/>
      <c r="F16" s="171"/>
      <c r="G16" s="171"/>
      <c r="H16" s="171"/>
      <c r="I16" s="171"/>
      <c r="J16" s="171"/>
      <c r="K16" s="172"/>
      <c r="L16" s="1"/>
      <c r="M16" s="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1"/>
      <c r="B17" s="1"/>
      <c r="C17" s="18"/>
      <c r="D17" s="15"/>
      <c r="E17" s="15"/>
      <c r="F17" s="15"/>
      <c r="G17" s="15"/>
      <c r="H17" s="15"/>
      <c r="I17" s="15"/>
      <c r="J17" s="15"/>
      <c r="K17" s="1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1"/>
      <c r="B18" s="1"/>
      <c r="C18" s="120" t="s">
        <v>184</v>
      </c>
      <c r="D18" s="121">
        <f>D6/D14</f>
        <v>4</v>
      </c>
      <c r="E18" s="1" t="str">
        <f>"unidades/envase"</f>
        <v>unidades/envase</v>
      </c>
      <c r="F18" s="1"/>
      <c r="G18" s="1"/>
      <c r="H18" s="120"/>
      <c r="I18" s="120" t="s">
        <v>184</v>
      </c>
      <c r="J18" s="113" t="s">
        <v>15</v>
      </c>
      <c r="K18" s="1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1"/>
      <c r="B19" s="1"/>
      <c r="C19" s="18"/>
      <c r="D19" s="15"/>
      <c r="E19" s="15"/>
      <c r="F19" s="15"/>
      <c r="G19" s="15"/>
      <c r="H19" s="15"/>
      <c r="I19" s="15"/>
      <c r="J19" s="4" t="s">
        <v>188</v>
      </c>
      <c r="K19" s="1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1"/>
      <c r="B20" s="1"/>
      <c r="C20" s="18"/>
      <c r="D20" s="15"/>
      <c r="E20" s="15"/>
      <c r="F20" s="15"/>
      <c r="G20" s="15"/>
      <c r="H20" s="15"/>
      <c r="I20" s="15"/>
      <c r="J20" s="15"/>
      <c r="K20" s="1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1"/>
      <c r="B21" s="11" t="s">
        <v>34</v>
      </c>
      <c r="C21" s="170" t="s">
        <v>35</v>
      </c>
      <c r="D21" s="171"/>
      <c r="E21" s="171"/>
      <c r="F21" s="171"/>
      <c r="G21" s="171"/>
      <c r="H21" s="171"/>
      <c r="I21" s="171"/>
      <c r="J21" s="171"/>
      <c r="K21" s="17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1"/>
      <c r="B22" s="1"/>
      <c r="C22" s="1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1"/>
      <c r="B23" s="1"/>
      <c r="C23" s="120" t="s">
        <v>189</v>
      </c>
      <c r="D23" s="121">
        <f>D10/D18</f>
        <v>20</v>
      </c>
      <c r="E23" s="1" t="str">
        <f>"$ / unidad de producción"</f>
        <v>$ / unidad de producción</v>
      </c>
      <c r="F23" s="1"/>
      <c r="G23" s="1"/>
      <c r="H23" s="1"/>
      <c r="I23" s="120" t="s">
        <v>189</v>
      </c>
      <c r="J23" s="113" t="s">
        <v>190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1"/>
      <c r="B24" s="1"/>
      <c r="C24" s="15"/>
      <c r="D24" s="1"/>
      <c r="E24" s="1"/>
      <c r="F24" s="1"/>
      <c r="G24" s="1"/>
      <c r="H24" s="1"/>
      <c r="I24" s="15"/>
      <c r="J24" s="4" t="s">
        <v>191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1"/>
      <c r="B25" s="1"/>
      <c r="C25" s="15"/>
      <c r="D25" s="1"/>
      <c r="E25" s="1"/>
      <c r="F25" s="1"/>
      <c r="G25" s="1"/>
      <c r="H25" s="1"/>
      <c r="I25" s="15"/>
      <c r="J25" s="1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1"/>
      <c r="B26" s="1"/>
      <c r="C26" s="1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1"/>
      <c r="B27" s="1"/>
      <c r="C27" s="1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1"/>
      <c r="B28" s="1"/>
      <c r="C28" s="1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1"/>
      <c r="B29" s="1"/>
      <c r="C29" s="1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1"/>
      <c r="B30" s="1"/>
      <c r="C30" s="1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1"/>
      <c r="B31" s="1"/>
      <c r="C31" s="1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1"/>
      <c r="B32" s="1"/>
      <c r="C32" s="1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1"/>
      <c r="B33" s="1"/>
      <c r="C33" s="1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1"/>
      <c r="B34" s="1"/>
      <c r="C34" s="1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1"/>
      <c r="B35" s="1"/>
      <c r="C35" s="1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1"/>
      <c r="B36" s="1"/>
      <c r="C36" s="1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1"/>
      <c r="B37" s="1"/>
      <c r="C37" s="1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1"/>
      <c r="B38" s="1"/>
      <c r="C38" s="1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1"/>
      <c r="B39" s="1"/>
      <c r="C39" s="1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1"/>
      <c r="B40" s="1"/>
      <c r="C40" s="1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</sheetData>
  <mergeCells count="7">
    <mergeCell ref="N6:N15"/>
    <mergeCell ref="B2:N2"/>
    <mergeCell ref="C4:K4"/>
    <mergeCell ref="C21:K21"/>
    <mergeCell ref="C16:K16"/>
    <mergeCell ref="C8:K8"/>
    <mergeCell ref="C12:K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D3BA-57C9-4D4D-8D9D-F14F51314B32}">
  <sheetPr>
    <tabColor theme="8" tint="0.39997558519241921"/>
  </sheetPr>
  <dimension ref="A1:Y42"/>
  <sheetViews>
    <sheetView zoomScaleNormal="100" workbookViewId="0">
      <selection activeCell="F21" sqref="F21"/>
    </sheetView>
  </sheetViews>
  <sheetFormatPr baseColWidth="10" defaultRowHeight="15" x14ac:dyDescent="0.25"/>
  <cols>
    <col min="1" max="1" width="3.28515625" customWidth="1"/>
    <col min="3" max="3" width="14.140625" customWidth="1"/>
    <col min="4" max="4" width="9.28515625" customWidth="1"/>
    <col min="5" max="5" width="15.85546875" customWidth="1"/>
    <col min="6" max="6" width="19" customWidth="1"/>
    <col min="7" max="7" width="15.5703125" customWidth="1"/>
    <col min="8" max="8" width="13.7109375" customWidth="1"/>
    <col min="9" max="9" width="5.28515625" customWidth="1"/>
    <col min="10" max="10" width="19.7109375" bestFit="1" customWidth="1"/>
  </cols>
  <sheetData>
    <row r="1" spans="1:2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/>
      <c r="E2" s="1"/>
      <c r="F2" s="1"/>
      <c r="G2" s="1"/>
      <c r="H2" s="1"/>
      <c r="I2" s="1"/>
      <c r="J2" s="1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1"/>
      <c r="B3" s="173" t="s">
        <v>196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1"/>
      <c r="B4" s="1"/>
      <c r="C4" s="1"/>
      <c r="D4" s="1"/>
      <c r="E4" s="1"/>
      <c r="F4" s="1"/>
      <c r="G4" s="1"/>
      <c r="H4" s="1"/>
      <c r="I4" s="1"/>
      <c r="J4" s="17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30" x14ac:dyDescent="0.25">
      <c r="A5" s="1"/>
      <c r="B5" s="159" t="s">
        <v>7</v>
      </c>
      <c r="C5" s="159"/>
      <c r="D5" s="11" t="s">
        <v>6</v>
      </c>
      <c r="E5" s="12" t="s">
        <v>13</v>
      </c>
      <c r="F5" s="12" t="s">
        <v>14</v>
      </c>
      <c r="G5" s="12" t="s">
        <v>15</v>
      </c>
      <c r="H5" s="12" t="s">
        <v>8</v>
      </c>
      <c r="I5" s="1"/>
      <c r="J5" s="123" t="s">
        <v>36</v>
      </c>
      <c r="K5" s="1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74" t="str">
        <f>+'3- Aspectos Productivos'!B4</f>
        <v>Envase:</v>
      </c>
      <c r="K6" s="182" t="s">
        <v>33</v>
      </c>
      <c r="L6" s="183"/>
      <c r="M6" s="183"/>
      <c r="N6" s="183"/>
      <c r="O6" s="184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1"/>
      <c r="B7" s="156" t="s">
        <v>9</v>
      </c>
      <c r="C7" s="30" t="s">
        <v>0</v>
      </c>
      <c r="D7" s="6" t="s">
        <v>16</v>
      </c>
      <c r="E7" s="8">
        <f>VLOOKUP(C7,'5- Anexar insumos'!$B$5:$C$9,2,)</f>
        <v>70</v>
      </c>
      <c r="F7" s="6" t="s">
        <v>19</v>
      </c>
      <c r="G7" s="10">
        <v>4</v>
      </c>
      <c r="H7" s="9">
        <f>E7/G7</f>
        <v>17.5</v>
      </c>
      <c r="I7" s="1"/>
      <c r="J7" s="175"/>
      <c r="K7" s="185"/>
      <c r="L7" s="186"/>
      <c r="M7" s="186"/>
      <c r="N7" s="186"/>
      <c r="O7" s="187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25">
      <c r="A8" s="1"/>
      <c r="B8" s="158"/>
      <c r="C8" s="30" t="s">
        <v>1</v>
      </c>
      <c r="D8" s="6" t="s">
        <v>17</v>
      </c>
      <c r="E8" s="8">
        <f>VLOOKUP(C8,'5- Anexar insumos'!$B$5:$C$9,2,)</f>
        <v>32</v>
      </c>
      <c r="F8" s="6" t="s">
        <v>20</v>
      </c>
      <c r="G8" s="10">
        <f>500/5</f>
        <v>100</v>
      </c>
      <c r="H8" s="9">
        <f t="shared" ref="H8:H15" si="0">E8/G8</f>
        <v>0.32</v>
      </c>
      <c r="I8" s="1"/>
      <c r="K8" s="28"/>
      <c r="L8" s="28"/>
      <c r="M8" s="28"/>
      <c r="N8" s="28"/>
      <c r="O8" s="28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x14ac:dyDescent="0.25">
      <c r="A9" s="1"/>
      <c r="B9" s="158"/>
      <c r="C9" s="30" t="s">
        <v>4</v>
      </c>
      <c r="D9" s="6" t="s">
        <v>18</v>
      </c>
      <c r="E9" s="8">
        <f>VLOOKUP(C9,'5- Anexar insumos'!$B$5:$C$9,2,)</f>
        <v>100</v>
      </c>
      <c r="F9" s="6" t="s">
        <v>21</v>
      </c>
      <c r="G9" s="10">
        <f>1000/20</f>
        <v>50</v>
      </c>
      <c r="H9" s="9">
        <f t="shared" si="0"/>
        <v>2</v>
      </c>
      <c r="I9" s="1"/>
      <c r="J9" s="174" t="str">
        <f>+'3- Aspectos Productivos'!B8</f>
        <v>Precio unitario:</v>
      </c>
      <c r="K9" s="176" t="s">
        <v>30</v>
      </c>
      <c r="L9" s="177"/>
      <c r="M9" s="177"/>
      <c r="N9" s="177"/>
      <c r="O9" s="178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5">
      <c r="A10" s="1"/>
      <c r="B10" s="157"/>
      <c r="C10" s="30" t="s">
        <v>10</v>
      </c>
      <c r="D10" s="6" t="s">
        <v>16</v>
      </c>
      <c r="E10" s="8">
        <v>500</v>
      </c>
      <c r="F10" s="6" t="s">
        <v>26</v>
      </c>
      <c r="G10" s="10">
        <f>1000/10</f>
        <v>100</v>
      </c>
      <c r="H10" s="9">
        <f t="shared" si="0"/>
        <v>5</v>
      </c>
      <c r="I10" s="1"/>
      <c r="J10" s="175"/>
      <c r="K10" s="179"/>
      <c r="L10" s="180"/>
      <c r="M10" s="180"/>
      <c r="N10" s="180"/>
      <c r="O10" s="18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25">
      <c r="A11" s="1"/>
      <c r="B11" s="1"/>
      <c r="C11" s="15"/>
      <c r="D11" s="4"/>
      <c r="E11" s="1"/>
      <c r="F11" s="4"/>
      <c r="G11" s="1"/>
      <c r="H11" s="1"/>
      <c r="I11" s="1"/>
      <c r="J11" s="1"/>
      <c r="K11" s="29"/>
      <c r="L11" s="18"/>
      <c r="M11" s="18"/>
      <c r="N11" s="18"/>
      <c r="O11" s="18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5">
      <c r="A12" s="1"/>
      <c r="B12" s="156" t="s">
        <v>11</v>
      </c>
      <c r="C12" s="30" t="s">
        <v>2</v>
      </c>
      <c r="D12" s="6" t="s">
        <v>16</v>
      </c>
      <c r="E12" s="8">
        <f>VLOOKUP(C12,'5- Anexar insumos'!$B$5:$C$9,2,)</f>
        <v>329</v>
      </c>
      <c r="F12" s="6" t="s">
        <v>23</v>
      </c>
      <c r="G12" s="10">
        <f>1000/200</f>
        <v>5</v>
      </c>
      <c r="H12" s="9">
        <f t="shared" si="0"/>
        <v>65.8</v>
      </c>
      <c r="I12" s="1"/>
      <c r="J12" s="174" t="str">
        <f>+'3- Aspectos Productivos'!B12</f>
        <v>Cantidad Unitaria</v>
      </c>
      <c r="K12" s="176" t="s">
        <v>186</v>
      </c>
      <c r="L12" s="177"/>
      <c r="M12" s="177"/>
      <c r="N12" s="177"/>
      <c r="O12" s="178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25">
      <c r="A13" s="1"/>
      <c r="B13" s="158"/>
      <c r="C13" s="30" t="s">
        <v>3</v>
      </c>
      <c r="D13" s="6" t="s">
        <v>16</v>
      </c>
      <c r="E13" s="8">
        <f>VLOOKUP(C13,'5- Anexar insumos'!$B$5:$C$9,2,)</f>
        <v>630</v>
      </c>
      <c r="F13" s="6" t="s">
        <v>24</v>
      </c>
      <c r="G13" s="10">
        <f>1000/80</f>
        <v>12.5</v>
      </c>
      <c r="H13" s="9">
        <f t="shared" si="0"/>
        <v>50.4</v>
      </c>
      <c r="I13" s="1"/>
      <c r="J13" s="175"/>
      <c r="K13" s="179"/>
      <c r="L13" s="180"/>
      <c r="M13" s="180"/>
      <c r="N13" s="180"/>
      <c r="O13" s="18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25">
      <c r="A14" s="1"/>
      <c r="B14" s="158"/>
      <c r="C14" s="30" t="s">
        <v>5</v>
      </c>
      <c r="D14" s="6" t="s">
        <v>16</v>
      </c>
      <c r="E14" s="8">
        <v>150</v>
      </c>
      <c r="F14" s="6" t="s">
        <v>25</v>
      </c>
      <c r="G14" s="10">
        <f>1000/40</f>
        <v>25</v>
      </c>
      <c r="H14" s="9">
        <f t="shared" si="0"/>
        <v>6</v>
      </c>
      <c r="I14" s="1"/>
      <c r="J14" s="1"/>
      <c r="K14" s="29"/>
      <c r="L14" s="18"/>
      <c r="M14" s="18"/>
      <c r="N14" s="18"/>
      <c r="O14" s="18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5">
      <c r="A15" s="1"/>
      <c r="B15" s="157"/>
      <c r="C15" s="30" t="s">
        <v>12</v>
      </c>
      <c r="D15" s="6" t="s">
        <v>18</v>
      </c>
      <c r="E15" s="8">
        <v>90</v>
      </c>
      <c r="F15" s="6" t="s">
        <v>22</v>
      </c>
      <c r="G15" s="10">
        <f>1000/65</f>
        <v>15.384615384615385</v>
      </c>
      <c r="H15" s="9">
        <f t="shared" si="0"/>
        <v>5.85</v>
      </c>
      <c r="I15" s="1"/>
      <c r="J15" s="174" t="str">
        <f>+'3- Aspectos Productivos'!B16</f>
        <v>Rendimiento:</v>
      </c>
      <c r="K15" s="176" t="s">
        <v>32</v>
      </c>
      <c r="L15" s="177"/>
      <c r="M15" s="177"/>
      <c r="N15" s="177"/>
      <c r="O15" s="178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1"/>
      <c r="B16" s="1"/>
      <c r="C16" s="1"/>
      <c r="D16" s="1"/>
      <c r="E16" s="1"/>
      <c r="F16" s="1"/>
      <c r="G16" s="1"/>
      <c r="H16" s="1"/>
      <c r="I16" s="1"/>
      <c r="J16" s="175"/>
      <c r="K16" s="179"/>
      <c r="L16" s="180"/>
      <c r="M16" s="180"/>
      <c r="N16" s="180"/>
      <c r="O16" s="18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1"/>
      <c r="B17" s="1"/>
      <c r="C17" s="1"/>
      <c r="D17" s="1"/>
      <c r="E17" s="1"/>
      <c r="F17" s="1"/>
      <c r="G17" s="13" t="s">
        <v>27</v>
      </c>
      <c r="H17" s="14">
        <f>SUM(H7:H15)</f>
        <v>152.87</v>
      </c>
      <c r="I17" s="1"/>
      <c r="J17" s="1"/>
      <c r="K17" s="29"/>
      <c r="L17" s="18"/>
      <c r="M17" s="18"/>
      <c r="N17" s="18"/>
      <c r="O17" s="18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74" t="str">
        <f>+'3- Aspectos Productivos'!B21</f>
        <v>Costo unitario:</v>
      </c>
      <c r="K18" s="176" t="s">
        <v>35</v>
      </c>
      <c r="L18" s="177"/>
      <c r="M18" s="177"/>
      <c r="N18" s="177"/>
      <c r="O18" s="178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1"/>
      <c r="B19" s="1"/>
      <c r="C19" s="1"/>
      <c r="D19" s="1"/>
      <c r="E19" s="1"/>
      <c r="F19" s="1"/>
      <c r="G19" s="1"/>
      <c r="H19" s="1"/>
      <c r="I19" s="1"/>
      <c r="J19" s="175"/>
      <c r="K19" s="179"/>
      <c r="L19" s="180"/>
      <c r="M19" s="180"/>
      <c r="N19" s="180"/>
      <c r="O19" s="18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</sheetData>
  <mergeCells count="14">
    <mergeCell ref="B3:O3"/>
    <mergeCell ref="B5:C5"/>
    <mergeCell ref="B7:B10"/>
    <mergeCell ref="B12:B15"/>
    <mergeCell ref="J18:J19"/>
    <mergeCell ref="K18:O19"/>
    <mergeCell ref="K6:O7"/>
    <mergeCell ref="K9:O10"/>
    <mergeCell ref="K12:O13"/>
    <mergeCell ref="J12:J13"/>
    <mergeCell ref="J9:J10"/>
    <mergeCell ref="J6:J7"/>
    <mergeCell ref="K15:O16"/>
    <mergeCell ref="J15:J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6583A-4ED4-497A-84E6-6A9FD10048A1}">
  <sheetPr>
    <tabColor theme="8" tint="0.39997558519241921"/>
  </sheetPr>
  <dimension ref="A1:AC42"/>
  <sheetViews>
    <sheetView zoomScaleNormal="100" workbookViewId="0">
      <selection activeCell="B3" sqref="B3:O3"/>
    </sheetView>
  </sheetViews>
  <sheetFormatPr baseColWidth="10" defaultRowHeight="15" x14ac:dyDescent="0.25"/>
  <cols>
    <col min="1" max="1" width="3.28515625" customWidth="1"/>
    <col min="3" max="3" width="14.140625" customWidth="1"/>
    <col min="4" max="4" width="9.28515625" customWidth="1"/>
    <col min="5" max="5" width="15.85546875" customWidth="1"/>
    <col min="6" max="6" width="19" customWidth="1"/>
    <col min="7" max="7" width="15.5703125" customWidth="1"/>
    <col min="8" max="8" width="13.7109375" customWidth="1"/>
    <col min="9" max="9" width="5.28515625" customWidth="1"/>
    <col min="10" max="10" width="19.7109375" bestFit="1" customWidth="1"/>
  </cols>
  <sheetData>
    <row r="1" spans="1:2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5">
      <c r="A2" s="1"/>
      <c r="B2" s="1"/>
      <c r="C2" s="1"/>
      <c r="D2" s="1"/>
      <c r="E2" s="1"/>
      <c r="F2" s="1"/>
      <c r="G2" s="1"/>
      <c r="H2" s="1"/>
      <c r="I2" s="1"/>
      <c r="J2" s="1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x14ac:dyDescent="0.25">
      <c r="A3" s="1"/>
      <c r="B3" s="173" t="s">
        <v>196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x14ac:dyDescent="0.25">
      <c r="A4" s="1"/>
      <c r="B4" s="1"/>
      <c r="C4" s="1"/>
      <c r="D4" s="1"/>
      <c r="E4" s="1"/>
      <c r="F4" s="1"/>
      <c r="G4" s="1"/>
      <c r="H4" s="1"/>
      <c r="I4" s="1"/>
      <c r="J4" s="17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30" x14ac:dyDescent="0.25">
      <c r="A5" s="1"/>
      <c r="B5" s="159" t="s">
        <v>7</v>
      </c>
      <c r="C5" s="159"/>
      <c r="D5" s="101" t="s">
        <v>6</v>
      </c>
      <c r="E5" s="12" t="s">
        <v>13</v>
      </c>
      <c r="F5" s="12" t="s">
        <v>14</v>
      </c>
      <c r="G5" s="12" t="s">
        <v>15</v>
      </c>
      <c r="H5" s="12" t="s">
        <v>8</v>
      </c>
      <c r="I5" s="1"/>
      <c r="J5" s="123" t="s">
        <v>36</v>
      </c>
      <c r="K5" s="1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74" t="str">
        <f>+'3- Aspectos Productivos'!B4</f>
        <v>Envase:</v>
      </c>
      <c r="K6" s="182" t="s">
        <v>33</v>
      </c>
      <c r="L6" s="183"/>
      <c r="M6" s="183"/>
      <c r="N6" s="183"/>
      <c r="O6" s="184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x14ac:dyDescent="0.25">
      <c r="A7" s="1"/>
      <c r="B7" s="156" t="s">
        <v>9</v>
      </c>
      <c r="C7" s="147" t="s">
        <v>0</v>
      </c>
      <c r="D7" s="148" t="s">
        <v>16</v>
      </c>
      <c r="E7" s="149">
        <f>VLOOKUP(C7,'5- Anexar insumos'!$B$5:$C$9,2,)</f>
        <v>70</v>
      </c>
      <c r="F7" s="6" t="s">
        <v>19</v>
      </c>
      <c r="G7" s="10">
        <v>4</v>
      </c>
      <c r="H7" s="9">
        <f>E7/G7</f>
        <v>17.5</v>
      </c>
      <c r="I7" s="1"/>
      <c r="J7" s="175"/>
      <c r="K7" s="185"/>
      <c r="L7" s="186"/>
      <c r="M7" s="186"/>
      <c r="N7" s="186"/>
      <c r="O7" s="187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x14ac:dyDescent="0.25">
      <c r="A8" s="1"/>
      <c r="B8" s="158"/>
      <c r="C8" s="30" t="s">
        <v>1</v>
      </c>
      <c r="D8" s="6" t="s">
        <v>17</v>
      </c>
      <c r="E8" s="8">
        <f>VLOOKUP(C8,'5- Anexar insumos'!$B$5:$C$9,2,)</f>
        <v>32</v>
      </c>
      <c r="F8" s="6" t="s">
        <v>20</v>
      </c>
      <c r="G8" s="10">
        <f>500/5</f>
        <v>100</v>
      </c>
      <c r="H8" s="9">
        <f t="shared" ref="H8:H15" si="0">E8/G8</f>
        <v>0.32</v>
      </c>
      <c r="I8" s="1"/>
      <c r="K8" s="28"/>
      <c r="L8" s="28"/>
      <c r="M8" s="28"/>
      <c r="N8" s="28"/>
      <c r="O8" s="28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1"/>
      <c r="B9" s="158"/>
      <c r="C9" s="30" t="s">
        <v>4</v>
      </c>
      <c r="D9" s="6" t="s">
        <v>18</v>
      </c>
      <c r="E9" s="8">
        <f>VLOOKUP(C9,'5- Anexar insumos'!$B$5:$C$9,2,)</f>
        <v>100</v>
      </c>
      <c r="F9" s="6" t="s">
        <v>21</v>
      </c>
      <c r="G9" s="10">
        <f>1000/20</f>
        <v>50</v>
      </c>
      <c r="H9" s="9">
        <f t="shared" si="0"/>
        <v>2</v>
      </c>
      <c r="I9" s="1"/>
      <c r="J9" s="174" t="str">
        <f>+'3- Aspectos Productivos'!B8</f>
        <v>Precio unitario:</v>
      </c>
      <c r="K9" s="176" t="s">
        <v>30</v>
      </c>
      <c r="L9" s="177"/>
      <c r="M9" s="177"/>
      <c r="N9" s="177"/>
      <c r="O9" s="178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" customHeight="1" x14ac:dyDescent="0.25">
      <c r="A10" s="1"/>
      <c r="B10" s="157"/>
      <c r="C10" s="30" t="s">
        <v>10</v>
      </c>
      <c r="D10" s="6" t="s">
        <v>16</v>
      </c>
      <c r="E10" s="8">
        <v>500</v>
      </c>
      <c r="F10" s="6" t="s">
        <v>26</v>
      </c>
      <c r="G10" s="10">
        <f>1000/10</f>
        <v>100</v>
      </c>
      <c r="H10" s="9">
        <f t="shared" si="0"/>
        <v>5</v>
      </c>
      <c r="I10" s="1"/>
      <c r="J10" s="175"/>
      <c r="K10" s="179"/>
      <c r="L10" s="180"/>
      <c r="M10" s="180"/>
      <c r="N10" s="180"/>
      <c r="O10" s="18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1"/>
      <c r="B11" s="1"/>
      <c r="C11" s="15"/>
      <c r="D11" s="4"/>
      <c r="E11" s="1"/>
      <c r="F11" s="4"/>
      <c r="G11" s="1"/>
      <c r="H11" s="1"/>
      <c r="I11" s="1"/>
      <c r="J11" s="1"/>
      <c r="K11" s="29"/>
      <c r="L11" s="18"/>
      <c r="M11" s="18"/>
      <c r="N11" s="18"/>
      <c r="O11" s="18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" customHeight="1" x14ac:dyDescent="0.25">
      <c r="A12" s="1"/>
      <c r="B12" s="156" t="s">
        <v>11</v>
      </c>
      <c r="C12" s="30" t="s">
        <v>2</v>
      </c>
      <c r="D12" s="6" t="s">
        <v>16</v>
      </c>
      <c r="E12" s="8">
        <f>VLOOKUP(C12,'5- Anexar insumos'!$B$5:$C$9,2,)</f>
        <v>329</v>
      </c>
      <c r="F12" s="6" t="s">
        <v>23</v>
      </c>
      <c r="G12" s="10">
        <f>1000/200</f>
        <v>5</v>
      </c>
      <c r="H12" s="9">
        <f t="shared" si="0"/>
        <v>65.8</v>
      </c>
      <c r="I12" s="1"/>
      <c r="J12" s="174" t="str">
        <f>+'3- Aspectos Productivos'!B12</f>
        <v>Cantidad Unitaria</v>
      </c>
      <c r="K12" s="176" t="s">
        <v>186</v>
      </c>
      <c r="L12" s="177"/>
      <c r="M12" s="177"/>
      <c r="N12" s="177"/>
      <c r="O12" s="178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5">
      <c r="A13" s="1"/>
      <c r="B13" s="158"/>
      <c r="C13" s="30" t="s">
        <v>3</v>
      </c>
      <c r="D13" s="6" t="s">
        <v>16</v>
      </c>
      <c r="E13" s="8">
        <f>VLOOKUP(C13,'5- Anexar insumos'!$B$5:$C$9,2,)</f>
        <v>630</v>
      </c>
      <c r="F13" s="6" t="s">
        <v>24</v>
      </c>
      <c r="G13" s="10">
        <f>1000/80</f>
        <v>12.5</v>
      </c>
      <c r="H13" s="9">
        <f t="shared" si="0"/>
        <v>50.4</v>
      </c>
      <c r="I13" s="1"/>
      <c r="J13" s="175"/>
      <c r="K13" s="179"/>
      <c r="L13" s="180"/>
      <c r="M13" s="180"/>
      <c r="N13" s="180"/>
      <c r="O13" s="18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5">
      <c r="A14" s="1"/>
      <c r="B14" s="158"/>
      <c r="C14" s="30" t="s">
        <v>5</v>
      </c>
      <c r="D14" s="6" t="s">
        <v>16</v>
      </c>
      <c r="E14" s="8">
        <v>150</v>
      </c>
      <c r="F14" s="6" t="s">
        <v>25</v>
      </c>
      <c r="G14" s="10">
        <f>1000/40</f>
        <v>25</v>
      </c>
      <c r="H14" s="9">
        <f t="shared" si="0"/>
        <v>6</v>
      </c>
      <c r="I14" s="1"/>
      <c r="J14" s="1"/>
      <c r="K14" s="29"/>
      <c r="L14" s="18"/>
      <c r="M14" s="18"/>
      <c r="N14" s="18"/>
      <c r="O14" s="18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" customHeight="1" x14ac:dyDescent="0.25">
      <c r="A15" s="1"/>
      <c r="B15" s="157"/>
      <c r="C15" s="30" t="s">
        <v>12</v>
      </c>
      <c r="D15" s="6" t="s">
        <v>18</v>
      </c>
      <c r="E15" s="8">
        <v>90</v>
      </c>
      <c r="F15" s="6" t="s">
        <v>22</v>
      </c>
      <c r="G15" s="10">
        <f>1000/65</f>
        <v>15.384615384615385</v>
      </c>
      <c r="H15" s="9">
        <f t="shared" si="0"/>
        <v>5.85</v>
      </c>
      <c r="I15" s="1"/>
      <c r="J15" s="174" t="str">
        <f>+'3- Aspectos Productivos'!B16</f>
        <v>Rendimiento:</v>
      </c>
      <c r="K15" s="176" t="s">
        <v>32</v>
      </c>
      <c r="L15" s="177"/>
      <c r="M15" s="177"/>
      <c r="N15" s="177"/>
      <c r="O15" s="178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5">
      <c r="A16" s="1"/>
      <c r="B16" s="1"/>
      <c r="C16" s="1"/>
      <c r="D16" s="1"/>
      <c r="E16" s="1"/>
      <c r="F16" s="1"/>
      <c r="G16" s="1"/>
      <c r="H16" s="1"/>
      <c r="I16" s="1"/>
      <c r="J16" s="175"/>
      <c r="K16" s="179"/>
      <c r="L16" s="180"/>
      <c r="M16" s="180"/>
      <c r="N16" s="180"/>
      <c r="O16" s="18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5">
      <c r="A17" s="1"/>
      <c r="B17" s="1"/>
      <c r="C17" s="1"/>
      <c r="D17" s="1"/>
      <c r="E17" s="1"/>
      <c r="F17" s="1"/>
      <c r="G17" s="13" t="s">
        <v>27</v>
      </c>
      <c r="H17" s="14">
        <f>SUM(H7:H15)</f>
        <v>152.87</v>
      </c>
      <c r="I17" s="1"/>
      <c r="J17" s="1"/>
      <c r="K17" s="29"/>
      <c r="L17" s="18"/>
      <c r="M17" s="18"/>
      <c r="N17" s="18"/>
      <c r="O17" s="18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74" t="str">
        <f>+'3- Aspectos Productivos'!B21</f>
        <v>Costo unitario:</v>
      </c>
      <c r="K18" s="176" t="s">
        <v>35</v>
      </c>
      <c r="L18" s="177"/>
      <c r="M18" s="177"/>
      <c r="N18" s="177"/>
      <c r="O18" s="178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5">
      <c r="A19" s="1"/>
      <c r="B19" s="1"/>
      <c r="C19" s="1"/>
      <c r="D19" s="1"/>
      <c r="E19" s="1"/>
      <c r="F19" s="1"/>
      <c r="G19" s="1"/>
      <c r="H19" s="1"/>
      <c r="I19" s="1"/>
      <c r="J19" s="175"/>
      <c r="K19" s="179"/>
      <c r="L19" s="180"/>
      <c r="M19" s="180"/>
      <c r="N19" s="180"/>
      <c r="O19" s="18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30" x14ac:dyDescent="0.25">
      <c r="A20" s="1"/>
      <c r="B20" s="159" t="s">
        <v>7</v>
      </c>
      <c r="C20" s="159"/>
      <c r="D20" s="101" t="s">
        <v>6</v>
      </c>
      <c r="E20" s="12" t="s">
        <v>13</v>
      </c>
      <c r="F20" s="12" t="s">
        <v>14</v>
      </c>
      <c r="G20" s="12" t="s">
        <v>15</v>
      </c>
      <c r="H20" s="12" t="s">
        <v>8</v>
      </c>
      <c r="I20" s="1"/>
      <c r="J20" s="1"/>
      <c r="K20" s="1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x14ac:dyDescent="0.25">
      <c r="A22" s="1"/>
      <c r="B22" s="156" t="s">
        <v>9</v>
      </c>
      <c r="C22" s="147" t="s">
        <v>0</v>
      </c>
      <c r="D22" s="148" t="s">
        <v>16</v>
      </c>
      <c r="E22" s="149">
        <f>VLOOKUP(C22,'5- Anexar insumos'!$B$5:$C$9,2,)</f>
        <v>70</v>
      </c>
      <c r="F22" s="6" t="s">
        <v>19</v>
      </c>
      <c r="G22" s="10">
        <v>4</v>
      </c>
      <c r="H22" s="9">
        <f>E22/G22</f>
        <v>17.5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x14ac:dyDescent="0.25">
      <c r="A23" s="1"/>
      <c r="B23" s="158"/>
      <c r="C23" s="30" t="s">
        <v>1</v>
      </c>
      <c r="D23" s="6" t="s">
        <v>17</v>
      </c>
      <c r="E23" s="8">
        <f>VLOOKUP(C23,'5- Anexar insumos'!$B$5:$C$9,2,)</f>
        <v>32</v>
      </c>
      <c r="F23" s="6" t="s">
        <v>20</v>
      </c>
      <c r="G23" s="10">
        <f>500/5</f>
        <v>100</v>
      </c>
      <c r="H23" s="9">
        <f t="shared" ref="H23:H25" si="1">E23/G23</f>
        <v>0.32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x14ac:dyDescent="0.25">
      <c r="A24" s="1"/>
      <c r="B24" s="158"/>
      <c r="C24" s="30" t="s">
        <v>4</v>
      </c>
      <c r="D24" s="6" t="s">
        <v>18</v>
      </c>
      <c r="E24" s="8">
        <f>VLOOKUP(C24,'5- Anexar insumos'!$B$5:$C$9,2,)</f>
        <v>100</v>
      </c>
      <c r="F24" s="6" t="s">
        <v>21</v>
      </c>
      <c r="G24" s="10">
        <f>1000/20</f>
        <v>50</v>
      </c>
      <c r="H24" s="9">
        <f t="shared" si="1"/>
        <v>2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x14ac:dyDescent="0.25">
      <c r="A25" s="1"/>
      <c r="B25" s="157"/>
      <c r="C25" s="30" t="s">
        <v>10</v>
      </c>
      <c r="D25" s="6" t="s">
        <v>16</v>
      </c>
      <c r="E25" s="8">
        <v>500</v>
      </c>
      <c r="F25" s="6" t="s">
        <v>26</v>
      </c>
      <c r="G25" s="10">
        <f>1000/10</f>
        <v>100</v>
      </c>
      <c r="H25" s="9">
        <f t="shared" si="1"/>
        <v>5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x14ac:dyDescent="0.25">
      <c r="A26" s="1"/>
      <c r="B26" s="1"/>
      <c r="C26" s="15"/>
      <c r="D26" s="4"/>
      <c r="E26" s="1"/>
      <c r="F26" s="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x14ac:dyDescent="0.25">
      <c r="A27" s="1"/>
      <c r="B27" s="156" t="s">
        <v>11</v>
      </c>
      <c r="C27" s="30" t="s">
        <v>2</v>
      </c>
      <c r="D27" s="6" t="s">
        <v>16</v>
      </c>
      <c r="E27" s="8">
        <f>VLOOKUP(C27,'5- Anexar insumos'!$B$5:$C$9,2,)</f>
        <v>329</v>
      </c>
      <c r="F27" s="6" t="s">
        <v>23</v>
      </c>
      <c r="G27" s="10">
        <f>1000/200</f>
        <v>5</v>
      </c>
      <c r="H27" s="9">
        <f t="shared" ref="H27:H28" si="2">E27/G27</f>
        <v>65.8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x14ac:dyDescent="0.25">
      <c r="A28" s="1"/>
      <c r="B28" s="157"/>
      <c r="C28" s="30" t="s">
        <v>12</v>
      </c>
      <c r="D28" s="6" t="s">
        <v>18</v>
      </c>
      <c r="E28" s="8">
        <v>90</v>
      </c>
      <c r="F28" s="6" t="s">
        <v>22</v>
      </c>
      <c r="G28" s="10">
        <f>1000/65</f>
        <v>15.384615384615385</v>
      </c>
      <c r="H28" s="9">
        <f t="shared" si="2"/>
        <v>5.85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x14ac:dyDescent="0.25">
      <c r="A29" s="1"/>
      <c r="B29" s="138"/>
      <c r="C29" s="139"/>
      <c r="D29" s="112"/>
      <c r="E29" s="56"/>
      <c r="F29" s="112"/>
      <c r="G29" s="140"/>
      <c r="H29" s="14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x14ac:dyDescent="0.25">
      <c r="A30" s="1"/>
      <c r="B30" s="188" t="s">
        <v>223</v>
      </c>
      <c r="C30" s="142" t="s">
        <v>224</v>
      </c>
      <c r="D30" s="143" t="s">
        <v>226</v>
      </c>
      <c r="E30" s="144">
        <v>7</v>
      </c>
      <c r="F30" s="143" t="s">
        <v>227</v>
      </c>
      <c r="G30" s="145">
        <v>1</v>
      </c>
      <c r="H30" s="146">
        <f t="shared" ref="H30:H31" si="3">E30/G30</f>
        <v>7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x14ac:dyDescent="0.25">
      <c r="A31" s="1"/>
      <c r="B31" s="189"/>
      <c r="C31" s="142" t="s">
        <v>225</v>
      </c>
      <c r="D31" s="143" t="s">
        <v>228</v>
      </c>
      <c r="E31" s="144">
        <v>100</v>
      </c>
      <c r="F31" s="143" t="s">
        <v>229</v>
      </c>
      <c r="G31" s="145">
        <f>50/1</f>
        <v>50</v>
      </c>
      <c r="H31" s="146">
        <f t="shared" si="3"/>
        <v>2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x14ac:dyDescent="0.25">
      <c r="A32" s="1"/>
      <c r="B32" s="138"/>
      <c r="C32" s="139"/>
      <c r="D32" s="112"/>
      <c r="E32" s="56"/>
      <c r="F32" s="11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x14ac:dyDescent="0.25">
      <c r="A33" s="1"/>
      <c r="B33" s="1"/>
      <c r="C33" s="1"/>
      <c r="D33" s="1"/>
      <c r="E33" s="1"/>
      <c r="F33" s="1"/>
      <c r="G33" s="13" t="s">
        <v>27</v>
      </c>
      <c r="H33" s="14">
        <f>SUM(H22:H31)</f>
        <v>105.47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</sheetData>
  <mergeCells count="18">
    <mergeCell ref="B3:O3"/>
    <mergeCell ref="B5:C5"/>
    <mergeCell ref="J6:J7"/>
    <mergeCell ref="K6:O7"/>
    <mergeCell ref="B7:B10"/>
    <mergeCell ref="J9:J10"/>
    <mergeCell ref="K9:O10"/>
    <mergeCell ref="J12:J13"/>
    <mergeCell ref="K12:O13"/>
    <mergeCell ref="J15:J16"/>
    <mergeCell ref="K15:O16"/>
    <mergeCell ref="J18:J19"/>
    <mergeCell ref="K18:O19"/>
    <mergeCell ref="B20:C20"/>
    <mergeCell ref="B22:B25"/>
    <mergeCell ref="B27:B28"/>
    <mergeCell ref="B30:B31"/>
    <mergeCell ref="B12:B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Producto A</vt:lpstr>
      <vt:lpstr>Producto B</vt:lpstr>
      <vt:lpstr>Productos A + B</vt:lpstr>
      <vt:lpstr>0-Inicio</vt:lpstr>
      <vt:lpstr>1-Precio</vt:lpstr>
      <vt:lpstr>2-Altern. Product.</vt:lpstr>
      <vt:lpstr>3- Aspectos Productivos</vt:lpstr>
      <vt:lpstr>4- C. Unitario</vt:lpstr>
      <vt:lpstr>4- C. Unitario (2)</vt:lpstr>
      <vt:lpstr>5- Anexar insumos</vt:lpstr>
      <vt:lpstr>6- C. Fijos</vt:lpstr>
      <vt:lpstr>Consulta </vt:lpstr>
      <vt:lpstr>7- Cu Final</vt:lpstr>
      <vt:lpstr>8- C. final</vt:lpstr>
      <vt:lpstr>Flete 2</vt:lpstr>
      <vt:lpstr>9- Presupuesto</vt:lpstr>
      <vt:lpstr>Consulta  2</vt:lpstr>
      <vt:lpstr>10- Ventas por objetivos</vt:lpstr>
      <vt:lpstr>Crédito</vt:lpstr>
      <vt:lpstr>Peq</vt:lpstr>
      <vt:lpstr>Peq c grafico</vt:lpstr>
      <vt:lpstr>Pto eq gráfica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Crodworking</dc:creator>
  <cp:lastModifiedBy>Usuario</cp:lastModifiedBy>
  <dcterms:created xsi:type="dcterms:W3CDTF">2020-05-17T14:46:06Z</dcterms:created>
  <dcterms:modified xsi:type="dcterms:W3CDTF">2021-04-29T15:14:43Z</dcterms:modified>
</cp:coreProperties>
</file>